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drawings/drawing2.xml" ContentType="application/vnd.openxmlformats-officedocument.drawing+xml"/>
  <Override PartName="/xl/ctrlProps/ctrlProp2.xml" ContentType="application/vnd.ms-excel.controlproperties+xml"/>
  <Override PartName="/xl/drawings/drawing3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C\Downloads\"/>
    </mc:Choice>
  </mc:AlternateContent>
  <bookViews>
    <workbookView xWindow="0" yWindow="0" windowWidth="19200" windowHeight="7350" firstSheet="1" activeTab="1"/>
  </bookViews>
  <sheets>
    <sheet name="Financial Model" sheetId="2" r:id="rId1"/>
    <sheet name="Structuring Assumptions" sheetId="14" r:id="rId2"/>
    <sheet name="Acquisition Model" sheetId="17" r:id="rId3"/>
    <sheet name="Graph Data" sheetId="11" r:id="rId4"/>
    <sheet name="Returns" sheetId="16" r:id="rId5"/>
    <sheet name="Assumptions Graph" sheetId="13" r:id="rId6"/>
  </sheets>
  <calcPr calcId="152511" calcMode="autoNoTable" calcOnSave="0"/>
</workbook>
</file>

<file path=xl/calcChain.xml><?xml version="1.0" encoding="utf-8"?>
<calcChain xmlns="http://schemas.openxmlformats.org/spreadsheetml/2006/main">
  <c r="E86" i="17" l="1"/>
  <c r="E65" i="17"/>
  <c r="E61" i="17"/>
  <c r="E55" i="17" l="1"/>
  <c r="G8" i="17"/>
  <c r="H8" i="17" s="1"/>
  <c r="E4" i="17"/>
  <c r="G2" i="17"/>
  <c r="H2" i="17" s="1"/>
  <c r="I2" i="17" s="1"/>
  <c r="J2" i="17" s="1"/>
  <c r="K2" i="17" s="1"/>
  <c r="L2" i="17" s="1"/>
  <c r="M2" i="17" s="1"/>
  <c r="N2" i="17" s="1"/>
  <c r="O2" i="17" s="1"/>
  <c r="K79" i="14"/>
  <c r="K77" i="14"/>
  <c r="K68" i="14"/>
  <c r="K69" i="14"/>
  <c r="K70" i="14"/>
  <c r="K73" i="14"/>
  <c r="K67" i="14"/>
  <c r="G63" i="14"/>
  <c r="H63" i="14"/>
  <c r="I63" i="14"/>
  <c r="J63" i="14"/>
  <c r="K63" i="14"/>
  <c r="F63" i="14"/>
  <c r="D63" i="14"/>
  <c r="F56" i="14"/>
  <c r="G56" i="14" s="1"/>
  <c r="H56" i="14" s="1"/>
  <c r="I56" i="14" s="1"/>
  <c r="J56" i="14" s="1"/>
  <c r="K56" i="14" s="1"/>
  <c r="E25" i="14"/>
  <c r="E4" i="11"/>
  <c r="D6" i="11"/>
  <c r="D7" i="11" s="1"/>
  <c r="D8" i="11" s="1"/>
  <c r="D9" i="11" s="1"/>
  <c r="D10" i="11" s="1"/>
  <c r="D11" i="11" s="1"/>
  <c r="D12" i="11" s="1"/>
  <c r="D13" i="11" s="1"/>
  <c r="D14" i="11" s="1"/>
  <c r="D15" i="11" s="1"/>
  <c r="D16" i="11" s="1"/>
  <c r="D17" i="11" s="1"/>
  <c r="D18" i="11" s="1"/>
  <c r="D19" i="11" s="1"/>
  <c r="D20" i="11" s="1"/>
  <c r="D21" i="11" s="1"/>
  <c r="D22" i="11" s="1"/>
  <c r="D23" i="11" s="1"/>
  <c r="D24" i="11" s="1"/>
  <c r="D25" i="11" s="1"/>
  <c r="D26" i="11" s="1"/>
  <c r="D27" i="11" s="1"/>
  <c r="D28" i="11" s="1"/>
  <c r="D29" i="11" s="1"/>
  <c r="D30" i="11" s="1"/>
  <c r="D31" i="11" s="1"/>
  <c r="D32" i="11" s="1"/>
  <c r="D33" i="11" s="1"/>
  <c r="D34" i="11" s="1"/>
  <c r="D35" i="11" s="1"/>
  <c r="D36" i="11" s="1"/>
  <c r="D37" i="11" s="1"/>
  <c r="D38" i="11" s="1"/>
  <c r="D39" i="11" s="1"/>
  <c r="D40" i="11" s="1"/>
  <c r="D41" i="11" s="1"/>
  <c r="D42" i="11" s="1"/>
  <c r="D43" i="11" s="1"/>
  <c r="D44" i="11" s="1"/>
  <c r="D45" i="11" s="1"/>
  <c r="D46" i="11" s="1"/>
  <c r="D47" i="11" s="1"/>
  <c r="D48" i="11" s="1"/>
  <c r="D49" i="11" s="1"/>
  <c r="D50" i="11" s="1"/>
  <c r="D51" i="11" s="1"/>
  <c r="D52" i="11" s="1"/>
  <c r="D53" i="11" s="1"/>
  <c r="D54" i="11" s="1"/>
  <c r="D55" i="11" s="1"/>
  <c r="D56" i="11" s="1"/>
  <c r="D57" i="11" s="1"/>
  <c r="D58" i="11" s="1"/>
  <c r="D59" i="11" s="1"/>
  <c r="D60" i="11" s="1"/>
  <c r="D61" i="11" s="1"/>
  <c r="D62" i="11" s="1"/>
  <c r="D63" i="11" s="1"/>
  <c r="D64" i="11" s="1"/>
  <c r="D65" i="11" s="1"/>
  <c r="D66" i="11" s="1"/>
  <c r="D67" i="11" s="1"/>
  <c r="D68" i="11" s="1"/>
  <c r="D5" i="11"/>
  <c r="E238" i="2"/>
  <c r="L92" i="2"/>
  <c r="K92" i="2"/>
  <c r="J133" i="2"/>
  <c r="K133" i="2"/>
  <c r="L133" i="2"/>
  <c r="I133" i="2"/>
  <c r="K379" i="2"/>
  <c r="L379" i="2"/>
  <c r="M379" i="2"/>
  <c r="N379" i="2"/>
  <c r="O379" i="2"/>
  <c r="P379" i="2"/>
  <c r="Q379" i="2"/>
  <c r="R379" i="2"/>
  <c r="S379" i="2"/>
  <c r="T379" i="2"/>
  <c r="J378" i="2"/>
  <c r="K378" i="2"/>
  <c r="L378" i="2"/>
  <c r="M378" i="2"/>
  <c r="N378" i="2"/>
  <c r="O378" i="2"/>
  <c r="P378" i="2"/>
  <c r="Q378" i="2"/>
  <c r="R378" i="2"/>
  <c r="S378" i="2"/>
  <c r="T378" i="2"/>
  <c r="I378" i="2"/>
  <c r="I361" i="2"/>
  <c r="I349" i="2"/>
  <c r="I348" i="2"/>
  <c r="J339" i="2"/>
  <c r="J352" i="2" s="1"/>
  <c r="K339" i="2"/>
  <c r="K352" i="2" s="1"/>
  <c r="L339" i="2"/>
  <c r="L352" i="2" s="1"/>
  <c r="M339" i="2"/>
  <c r="M352" i="2" s="1"/>
  <c r="N339" i="2"/>
  <c r="N352" i="2" s="1"/>
  <c r="O339" i="2"/>
  <c r="O352" i="2" s="1"/>
  <c r="P339" i="2"/>
  <c r="P352" i="2" s="1"/>
  <c r="Q339" i="2"/>
  <c r="Q352" i="2" s="1"/>
  <c r="R339" i="2"/>
  <c r="R352" i="2" s="1"/>
  <c r="S339" i="2"/>
  <c r="S352" i="2" s="1"/>
  <c r="T339" i="2"/>
  <c r="T352" i="2" s="1"/>
  <c r="J338" i="2"/>
  <c r="J351" i="2" s="1"/>
  <c r="K338" i="2"/>
  <c r="K351" i="2" s="1"/>
  <c r="L338" i="2"/>
  <c r="L351" i="2" s="1"/>
  <c r="M338" i="2"/>
  <c r="M351" i="2" s="1"/>
  <c r="N338" i="2"/>
  <c r="N351" i="2" s="1"/>
  <c r="O338" i="2"/>
  <c r="O351" i="2" s="1"/>
  <c r="P338" i="2"/>
  <c r="P351" i="2" s="1"/>
  <c r="Q338" i="2"/>
  <c r="Q351" i="2" s="1"/>
  <c r="R338" i="2"/>
  <c r="R351" i="2" s="1"/>
  <c r="S338" i="2"/>
  <c r="S351" i="2" s="1"/>
  <c r="T338" i="2"/>
  <c r="T351" i="2" s="1"/>
  <c r="I339" i="2"/>
  <c r="I352" i="2" s="1"/>
  <c r="I338" i="2"/>
  <c r="I351" i="2" s="1"/>
  <c r="I4" i="17" l="1"/>
  <c r="M4" i="17"/>
  <c r="J4" i="17"/>
  <c r="N4" i="17"/>
  <c r="K4" i="17"/>
  <c r="O4" i="17"/>
  <c r="L4" i="17"/>
  <c r="H4" i="17"/>
  <c r="O41" i="17"/>
  <c r="N41" i="17"/>
  <c r="J41" i="17"/>
  <c r="E5" i="17"/>
  <c r="M41" i="17"/>
  <c r="I41" i="17"/>
  <c r="K41" i="17"/>
  <c r="H41" i="17"/>
  <c r="L41" i="17"/>
  <c r="E239" i="2"/>
  <c r="E5" i="11"/>
  <c r="F4" i="11"/>
  <c r="L5" i="17" l="1"/>
  <c r="H5" i="17"/>
  <c r="K5" i="17"/>
  <c r="O5" i="17"/>
  <c r="I5" i="17"/>
  <c r="M5" i="17"/>
  <c r="J5" i="17"/>
  <c r="N5" i="17"/>
  <c r="E240" i="2"/>
  <c r="F5" i="11"/>
  <c r="E241" i="2" l="1"/>
  <c r="E6" i="11"/>
  <c r="F6" i="11" l="1"/>
  <c r="E242" i="2"/>
  <c r="E243" i="2" l="1"/>
  <c r="E7" i="11"/>
  <c r="F7" i="11" l="1"/>
  <c r="E244" i="2"/>
  <c r="E245" i="2" l="1"/>
  <c r="E246" i="2" l="1"/>
  <c r="E247" i="2" l="1"/>
  <c r="E248" i="2" s="1"/>
  <c r="E249" i="2" s="1"/>
  <c r="E250" i="2" s="1"/>
  <c r="E251" i="2" s="1"/>
  <c r="E252" i="2" s="1"/>
  <c r="E253" i="2" s="1"/>
  <c r="E254" i="2" s="1"/>
  <c r="E255" i="2" s="1"/>
  <c r="E256" i="2" s="1"/>
  <c r="E257" i="2" s="1"/>
  <c r="E258" i="2" s="1"/>
  <c r="E259" i="2" s="1"/>
  <c r="E260" i="2" s="1"/>
  <c r="E261" i="2" s="1"/>
  <c r="E262" i="2" s="1"/>
  <c r="E263" i="2" s="1"/>
  <c r="E264" i="2" s="1"/>
  <c r="E265" i="2" s="1"/>
  <c r="E266" i="2" s="1"/>
  <c r="E267" i="2" s="1"/>
  <c r="E268" i="2" s="1"/>
  <c r="E269" i="2" s="1"/>
  <c r="E270" i="2" s="1"/>
  <c r="E271" i="2" s="1"/>
  <c r="E272" i="2" s="1"/>
  <c r="E273" i="2" s="1"/>
  <c r="E274" i="2" s="1"/>
  <c r="E275" i="2" s="1"/>
  <c r="E276" i="2" s="1"/>
  <c r="E277" i="2" s="1"/>
  <c r="E278" i="2" s="1"/>
  <c r="E279" i="2" s="1"/>
  <c r="E280" i="2" s="1"/>
  <c r="E281" i="2" s="1"/>
  <c r="E282" i="2" s="1"/>
  <c r="E283" i="2" s="1"/>
  <c r="E284" i="2" s="1"/>
  <c r="E285" i="2" s="1"/>
  <c r="E286" i="2" s="1"/>
  <c r="E287" i="2" s="1"/>
  <c r="E288" i="2" s="1"/>
  <c r="E289" i="2" s="1"/>
  <c r="E290" i="2" s="1"/>
  <c r="E291" i="2" s="1"/>
  <c r="E292" i="2" s="1"/>
  <c r="E293" i="2" s="1"/>
  <c r="E294" i="2" s="1"/>
  <c r="E295" i="2" s="1"/>
  <c r="E296" i="2" s="1"/>
  <c r="E297" i="2" s="1"/>
  <c r="E298" i="2" s="1"/>
  <c r="E299" i="2" s="1"/>
  <c r="E300" i="2" s="1"/>
  <c r="E301" i="2" s="1"/>
  <c r="E302" i="2" s="1"/>
  <c r="E303" i="2" s="1"/>
  <c r="E304" i="2" s="1"/>
  <c r="E305" i="2" s="1"/>
  <c r="E306" i="2" s="1"/>
  <c r="E307" i="2" s="1"/>
  <c r="E308" i="2" s="1"/>
  <c r="E309" i="2" s="1"/>
  <c r="E310" i="2" s="1"/>
  <c r="E311" i="2" s="1"/>
  <c r="E312" i="2" s="1"/>
  <c r="E313" i="2" s="1"/>
  <c r="E314" i="2" s="1"/>
  <c r="E315" i="2" s="1"/>
  <c r="E316" i="2" s="1"/>
  <c r="E317" i="2" s="1"/>
  <c r="E318" i="2" s="1"/>
  <c r="E319" i="2" s="1"/>
  <c r="E320" i="2" s="1"/>
  <c r="E321" i="2" s="1"/>
  <c r="E322" i="2" s="1"/>
  <c r="E323" i="2" s="1"/>
  <c r="E324" i="2" s="1"/>
  <c r="E325" i="2" s="1"/>
  <c r="E326" i="2" s="1"/>
  <c r="E327" i="2" s="1"/>
  <c r="E328" i="2" s="1"/>
  <c r="E49" i="11" s="1"/>
  <c r="E38" i="11"/>
  <c r="E18" i="11"/>
  <c r="E17" i="11"/>
  <c r="E66" i="11"/>
  <c r="E23" i="11"/>
  <c r="E14" i="11"/>
  <c r="E20" i="11"/>
  <c r="E50" i="11"/>
  <c r="E15" i="11"/>
  <c r="E13" i="11"/>
  <c r="E16" i="11"/>
  <c r="E28" i="11"/>
  <c r="E9" i="11"/>
  <c r="E21" i="11"/>
  <c r="E31" i="11"/>
  <c r="E43" i="11"/>
  <c r="E30" i="11"/>
  <c r="E10" i="11"/>
  <c r="E12" i="11"/>
  <c r="I307" i="2"/>
  <c r="I306" i="2"/>
  <c r="J286" i="2"/>
  <c r="K286" i="2"/>
  <c r="L286" i="2"/>
  <c r="M286" i="2"/>
  <c r="N286" i="2"/>
  <c r="O286" i="2"/>
  <c r="P286" i="2"/>
  <c r="Q286" i="2"/>
  <c r="R286" i="2"/>
  <c r="S286" i="2"/>
  <c r="T286" i="2"/>
  <c r="I286" i="2"/>
  <c r="I269" i="2"/>
  <c r="I263" i="2"/>
  <c r="I248" i="2"/>
  <c r="I237" i="2"/>
  <c r="I4" i="11" s="1"/>
  <c r="E37" i="11" l="1"/>
  <c r="E60" i="11"/>
  <c r="E36" i="11"/>
  <c r="E53" i="11"/>
  <c r="F53" i="11" s="1"/>
  <c r="E32" i="11"/>
  <c r="E48" i="11"/>
  <c r="E24" i="11"/>
  <c r="E19" i="11"/>
  <c r="F19" i="11" s="1"/>
  <c r="E41" i="11"/>
  <c r="E68" i="11"/>
  <c r="E34" i="11"/>
  <c r="E22" i="11"/>
  <c r="F22" i="11" s="1"/>
  <c r="E57" i="11"/>
  <c r="E56" i="11"/>
  <c r="E51" i="11"/>
  <c r="E45" i="11"/>
  <c r="F45" i="11" s="1"/>
  <c r="E54" i="11"/>
  <c r="E55" i="11"/>
  <c r="E26" i="11"/>
  <c r="E25" i="11"/>
  <c r="F25" i="11" s="1"/>
  <c r="E29" i="11"/>
  <c r="E33" i="11"/>
  <c r="F49" i="11"/>
  <c r="I10" i="11"/>
  <c r="F10" i="11"/>
  <c r="F21" i="11"/>
  <c r="F28" i="11"/>
  <c r="F26" i="11"/>
  <c r="I48" i="11"/>
  <c r="F48" i="11"/>
  <c r="F18" i="11"/>
  <c r="I51" i="11"/>
  <c r="F51" i="11"/>
  <c r="F30" i="11"/>
  <c r="K37" i="11"/>
  <c r="O37" i="11"/>
  <c r="S37" i="11"/>
  <c r="L37" i="11"/>
  <c r="P37" i="11"/>
  <c r="T37" i="11"/>
  <c r="I37" i="11"/>
  <c r="M37" i="11"/>
  <c r="Q37" i="11"/>
  <c r="R37" i="11"/>
  <c r="F37" i="11"/>
  <c r="J37" i="11"/>
  <c r="N37" i="11"/>
  <c r="I60" i="11"/>
  <c r="M60" i="11"/>
  <c r="Q60" i="11"/>
  <c r="J60" i="11"/>
  <c r="N60" i="11"/>
  <c r="R60" i="11"/>
  <c r="K60" i="11"/>
  <c r="O60" i="11"/>
  <c r="S60" i="11"/>
  <c r="T60" i="11"/>
  <c r="L60" i="11"/>
  <c r="F60" i="11"/>
  <c r="P60" i="11"/>
  <c r="F16" i="11"/>
  <c r="F36" i="11"/>
  <c r="I20" i="11"/>
  <c r="F20" i="11"/>
  <c r="F14" i="11"/>
  <c r="I57" i="11"/>
  <c r="F57" i="11"/>
  <c r="I24" i="11"/>
  <c r="F24" i="11"/>
  <c r="F38" i="11"/>
  <c r="F33" i="11"/>
  <c r="E64" i="11"/>
  <c r="F31" i="11"/>
  <c r="F41" i="11"/>
  <c r="F13" i="11"/>
  <c r="E52" i="11"/>
  <c r="E61" i="11"/>
  <c r="E63" i="11"/>
  <c r="E59" i="11"/>
  <c r="E40" i="11"/>
  <c r="E44" i="11"/>
  <c r="F43" i="11"/>
  <c r="I50" i="11"/>
  <c r="F50" i="11"/>
  <c r="F34" i="11"/>
  <c r="F32" i="11"/>
  <c r="F29" i="11"/>
  <c r="F12" i="11"/>
  <c r="F54" i="11"/>
  <c r="F55" i="11"/>
  <c r="F9" i="11"/>
  <c r="F15" i="11"/>
  <c r="I68" i="11"/>
  <c r="M68" i="11"/>
  <c r="Q68" i="11"/>
  <c r="J68" i="11"/>
  <c r="N68" i="11"/>
  <c r="R68" i="11"/>
  <c r="K68" i="11"/>
  <c r="O68" i="11"/>
  <c r="S68" i="11"/>
  <c r="F68" i="11"/>
  <c r="L68" i="11"/>
  <c r="P68" i="11"/>
  <c r="T68" i="11"/>
  <c r="F23" i="11"/>
  <c r="I66" i="11"/>
  <c r="M66" i="11"/>
  <c r="Q66" i="11"/>
  <c r="J66" i="11"/>
  <c r="N66" i="11"/>
  <c r="R66" i="11"/>
  <c r="K66" i="11"/>
  <c r="O66" i="11"/>
  <c r="S66" i="11"/>
  <c r="P66" i="11"/>
  <c r="T66" i="11"/>
  <c r="F66" i="11"/>
  <c r="L66" i="11"/>
  <c r="F17" i="11"/>
  <c r="F56" i="11"/>
  <c r="E67" i="11"/>
  <c r="E27" i="11"/>
  <c r="E42" i="11"/>
  <c r="E8" i="11"/>
  <c r="E47" i="11"/>
  <c r="E62" i="11"/>
  <c r="E46" i="11"/>
  <c r="E39" i="11"/>
  <c r="E65" i="11"/>
  <c r="E35" i="11"/>
  <c r="E11" i="11"/>
  <c r="E58" i="11"/>
  <c r="J2" i="2"/>
  <c r="J386" i="2" s="1"/>
  <c r="K2" i="2"/>
  <c r="K386" i="2" s="1"/>
  <c r="L2" i="2"/>
  <c r="L386" i="2" s="1"/>
  <c r="I2" i="2"/>
  <c r="I386" i="2" s="1"/>
  <c r="J136" i="2"/>
  <c r="K136" i="2"/>
  <c r="L136" i="2"/>
  <c r="I136" i="2"/>
  <c r="I46" i="11" l="1"/>
  <c r="F46" i="11"/>
  <c r="K35" i="11"/>
  <c r="O35" i="11"/>
  <c r="S35" i="11"/>
  <c r="L35" i="11"/>
  <c r="P35" i="11"/>
  <c r="T35" i="11"/>
  <c r="I35" i="11"/>
  <c r="M35" i="11"/>
  <c r="Q35" i="11"/>
  <c r="J35" i="11"/>
  <c r="N35" i="11"/>
  <c r="R35" i="11"/>
  <c r="F35" i="11"/>
  <c r="F40" i="11"/>
  <c r="I61" i="11"/>
  <c r="M61" i="11"/>
  <c r="Q61" i="11"/>
  <c r="J61" i="11"/>
  <c r="N61" i="11"/>
  <c r="R61" i="11"/>
  <c r="K61" i="11"/>
  <c r="O61" i="11"/>
  <c r="S61" i="11"/>
  <c r="L61" i="11"/>
  <c r="F61" i="11"/>
  <c r="P61" i="11"/>
  <c r="T61" i="11"/>
  <c r="F42" i="11"/>
  <c r="I63" i="11"/>
  <c r="M63" i="11"/>
  <c r="Q63" i="11"/>
  <c r="J63" i="11"/>
  <c r="N63" i="11"/>
  <c r="R63" i="11"/>
  <c r="K63" i="11"/>
  <c r="O63" i="11"/>
  <c r="S63" i="11"/>
  <c r="T63" i="11"/>
  <c r="P63" i="11"/>
  <c r="L63" i="11"/>
  <c r="F63" i="11"/>
  <c r="M2" i="2"/>
  <c r="L3" i="11"/>
  <c r="L73" i="11" s="1"/>
  <c r="L76" i="11" s="1"/>
  <c r="F27" i="11"/>
  <c r="I65" i="11"/>
  <c r="M65" i="11"/>
  <c r="Q65" i="11"/>
  <c r="J65" i="11"/>
  <c r="N65" i="11"/>
  <c r="R65" i="11"/>
  <c r="K65" i="11"/>
  <c r="O65" i="11"/>
  <c r="S65" i="11"/>
  <c r="L65" i="11"/>
  <c r="F65" i="11"/>
  <c r="P65" i="11"/>
  <c r="T65" i="11"/>
  <c r="I67" i="11"/>
  <c r="M67" i="11"/>
  <c r="Q67" i="11"/>
  <c r="J67" i="11"/>
  <c r="N67" i="11"/>
  <c r="R67" i="11"/>
  <c r="K67" i="11"/>
  <c r="O67" i="11"/>
  <c r="S67" i="11"/>
  <c r="T67" i="11"/>
  <c r="P67" i="11"/>
  <c r="L67" i="11"/>
  <c r="F67" i="11"/>
  <c r="F59" i="11"/>
  <c r="I52" i="11"/>
  <c r="F52" i="11"/>
  <c r="I64" i="11"/>
  <c r="M64" i="11"/>
  <c r="Q64" i="11"/>
  <c r="J64" i="11"/>
  <c r="N64" i="11"/>
  <c r="R64" i="11"/>
  <c r="K64" i="11"/>
  <c r="O64" i="11"/>
  <c r="S64" i="11"/>
  <c r="L64" i="11"/>
  <c r="P64" i="11"/>
  <c r="T64" i="11"/>
  <c r="F64" i="11"/>
  <c r="I3" i="2"/>
  <c r="I3" i="11"/>
  <c r="I73" i="11" s="1"/>
  <c r="I76" i="11" s="1"/>
  <c r="F11" i="11"/>
  <c r="F74" i="11" s="1"/>
  <c r="F44" i="11"/>
  <c r="I62" i="11"/>
  <c r="M62" i="11"/>
  <c r="Q62" i="11"/>
  <c r="J62" i="11"/>
  <c r="N62" i="11"/>
  <c r="R62" i="11"/>
  <c r="K62" i="11"/>
  <c r="O62" i="11"/>
  <c r="S62" i="11"/>
  <c r="P62" i="11"/>
  <c r="T62" i="11"/>
  <c r="F62" i="11"/>
  <c r="L62" i="11"/>
  <c r="K3" i="2"/>
  <c r="K3" i="11"/>
  <c r="K73" i="11" s="1"/>
  <c r="K76" i="11" s="1"/>
  <c r="I47" i="11"/>
  <c r="F47" i="11"/>
  <c r="J3" i="2"/>
  <c r="J3" i="11"/>
  <c r="J73" i="11" s="1"/>
  <c r="J76" i="11" s="1"/>
  <c r="F58" i="11"/>
  <c r="F39" i="11"/>
  <c r="F8" i="11"/>
  <c r="I371" i="2"/>
  <c r="I323" i="2"/>
  <c r="I59" i="11" s="1"/>
  <c r="I313" i="2"/>
  <c r="I53" i="11" s="1"/>
  <c r="I364" i="2"/>
  <c r="I222" i="2"/>
  <c r="K364" i="2"/>
  <c r="J317" i="2"/>
  <c r="J54" i="11" s="1"/>
  <c r="I317" i="2"/>
  <c r="I54" i="11" s="1"/>
  <c r="I232" i="2"/>
  <c r="I231" i="2"/>
  <c r="J231" i="2"/>
  <c r="J232" i="2"/>
  <c r="J323" i="2"/>
  <c r="K321" i="2" s="1"/>
  <c r="K57" i="11" s="1"/>
  <c r="J313" i="2"/>
  <c r="J53" i="11" s="1"/>
  <c r="K231" i="2"/>
  <c r="I228" i="2"/>
  <c r="I225" i="2"/>
  <c r="K228" i="2"/>
  <c r="J225" i="2"/>
  <c r="J217" i="2"/>
  <c r="J228" i="2"/>
  <c r="K212" i="2"/>
  <c r="K210" i="2"/>
  <c r="J212" i="2"/>
  <c r="J208" i="2"/>
  <c r="J213" i="2"/>
  <c r="J209" i="2"/>
  <c r="J210" i="2"/>
  <c r="J211" i="2"/>
  <c r="J207" i="2"/>
  <c r="I212" i="2"/>
  <c r="I208" i="2"/>
  <c r="I207" i="2"/>
  <c r="I209" i="2"/>
  <c r="I211" i="2"/>
  <c r="I210" i="2"/>
  <c r="I213" i="2"/>
  <c r="L3" i="2"/>
  <c r="I175" i="2"/>
  <c r="I195" i="2"/>
  <c r="I187" i="2"/>
  <c r="I163" i="2"/>
  <c r="I167" i="2"/>
  <c r="I191" i="2"/>
  <c r="I151" i="2"/>
  <c r="I249" i="2" s="1"/>
  <c r="I11" i="11" s="1"/>
  <c r="I159" i="2"/>
  <c r="I160" i="2" s="1"/>
  <c r="I254" i="2" s="1"/>
  <c r="I203" i="2"/>
  <c r="I204" i="2" s="1"/>
  <c r="I331" i="2" s="1"/>
  <c r="I199" i="2"/>
  <c r="I308" i="2" s="1"/>
  <c r="I183" i="2"/>
  <c r="I171" i="2"/>
  <c r="I264" i="2" s="1"/>
  <c r="I21" i="11" s="1"/>
  <c r="I155" i="2"/>
  <c r="I147" i="2"/>
  <c r="I143" i="2"/>
  <c r="I179" i="2"/>
  <c r="I270" i="2" s="1"/>
  <c r="I25" i="11" s="1"/>
  <c r="I140" i="2"/>
  <c r="I238" i="2" s="1"/>
  <c r="I5" i="11" s="1"/>
  <c r="M3" i="2"/>
  <c r="M72" i="11" s="1"/>
  <c r="M77" i="11" s="1"/>
  <c r="N2" i="2"/>
  <c r="K195" i="2"/>
  <c r="K183" i="2"/>
  <c r="K187" i="2"/>
  <c r="K191" i="2"/>
  <c r="J199" i="2"/>
  <c r="J308" i="2" s="1"/>
  <c r="J49" i="11" s="1"/>
  <c r="J183" i="2"/>
  <c r="J167" i="2"/>
  <c r="J151" i="2"/>
  <c r="J187" i="2"/>
  <c r="J171" i="2"/>
  <c r="J155" i="2"/>
  <c r="J203" i="2"/>
  <c r="J204" i="2" s="1"/>
  <c r="J331" i="2" s="1"/>
  <c r="J191" i="2"/>
  <c r="J175" i="2"/>
  <c r="J159" i="2"/>
  <c r="J160" i="2" s="1"/>
  <c r="J254" i="2" s="1"/>
  <c r="J143" i="2"/>
  <c r="J147" i="2"/>
  <c r="J195" i="2"/>
  <c r="J179" i="2"/>
  <c r="J163" i="2"/>
  <c r="J140" i="2"/>
  <c r="J238" i="2" s="1"/>
  <c r="J5" i="11" s="1"/>
  <c r="L72" i="11" l="1"/>
  <c r="L78" i="11" s="1"/>
  <c r="J72" i="11"/>
  <c r="J78" i="11" s="1"/>
  <c r="J255" i="2"/>
  <c r="K323" i="2"/>
  <c r="K59" i="11" s="1"/>
  <c r="K72" i="11"/>
  <c r="K78" i="11" s="1"/>
  <c r="M3" i="11"/>
  <c r="M73" i="11" s="1"/>
  <c r="M76" i="11" s="1"/>
  <c r="M386" i="2"/>
  <c r="N3" i="11"/>
  <c r="N73" i="11" s="1"/>
  <c r="N76" i="11" s="1"/>
  <c r="N386" i="2"/>
  <c r="J222" i="2"/>
  <c r="J364" i="2"/>
  <c r="J380" i="2" s="1"/>
  <c r="I219" i="2"/>
  <c r="I72" i="11"/>
  <c r="I78" i="11" s="1"/>
  <c r="I255" i="2"/>
  <c r="I15" i="11"/>
  <c r="I14" i="11"/>
  <c r="L371" i="2"/>
  <c r="L219" i="2"/>
  <c r="K209" i="2"/>
  <c r="K207" i="2"/>
  <c r="K232" i="2"/>
  <c r="K233" i="2" s="1"/>
  <c r="K317" i="2"/>
  <c r="K222" i="2"/>
  <c r="J371" i="2"/>
  <c r="J219" i="2"/>
  <c r="J59" i="11"/>
  <c r="K143" i="2"/>
  <c r="K147" i="2"/>
  <c r="K199" i="2"/>
  <c r="K218" i="2" s="1"/>
  <c r="K203" i="2"/>
  <c r="K204" i="2" s="1"/>
  <c r="K331" i="2" s="1"/>
  <c r="J15" i="11"/>
  <c r="J14" i="11"/>
  <c r="K159" i="2"/>
  <c r="K160" i="2" s="1"/>
  <c r="K254" i="2" s="1"/>
  <c r="K155" i="2"/>
  <c r="K156" i="2" s="1"/>
  <c r="K151" i="2"/>
  <c r="K249" i="2" s="1"/>
  <c r="K11" i="11" s="1"/>
  <c r="K163" i="2"/>
  <c r="K213" i="2"/>
  <c r="K211" i="2"/>
  <c r="K217" i="2"/>
  <c r="K371" i="2"/>
  <c r="K219" i="2"/>
  <c r="K220" i="2" s="1"/>
  <c r="K306" i="2" s="1"/>
  <c r="K140" i="2"/>
  <c r="K238" i="2" s="1"/>
  <c r="K5" i="11" s="1"/>
  <c r="K175" i="2"/>
  <c r="K171" i="2"/>
  <c r="K264" i="2" s="1"/>
  <c r="K21" i="11" s="1"/>
  <c r="K167" i="2"/>
  <c r="K168" i="2" s="1"/>
  <c r="K179" i="2"/>
  <c r="K270" i="2" s="1"/>
  <c r="K25" i="11" s="1"/>
  <c r="I336" i="2"/>
  <c r="I49" i="11"/>
  <c r="K208" i="2"/>
  <c r="K214" i="2" s="1"/>
  <c r="K340" i="2" s="1"/>
  <c r="K353" i="2" s="1"/>
  <c r="K225" i="2"/>
  <c r="K313" i="2"/>
  <c r="K53" i="11" s="1"/>
  <c r="I319" i="2"/>
  <c r="M371" i="2"/>
  <c r="L183" i="2"/>
  <c r="L222" i="2"/>
  <c r="L364" i="2"/>
  <c r="L361" i="2"/>
  <c r="K380" i="2"/>
  <c r="M318" i="2"/>
  <c r="M55" i="11" s="1"/>
  <c r="M222" i="2"/>
  <c r="J310" i="2"/>
  <c r="J50" i="11" s="1"/>
  <c r="I370" i="2"/>
  <c r="I380" i="2"/>
  <c r="J361" i="2"/>
  <c r="K310" i="2"/>
  <c r="K50" i="11" s="1"/>
  <c r="J370" i="2"/>
  <c r="J367" i="2"/>
  <c r="J321" i="2"/>
  <c r="I367" i="2"/>
  <c r="J318" i="2"/>
  <c r="J55" i="11" s="1"/>
  <c r="J342" i="2"/>
  <c r="J347" i="2" s="1"/>
  <c r="I342" i="2"/>
  <c r="I347" i="2" s="1"/>
  <c r="L175" i="2"/>
  <c r="L317" i="2"/>
  <c r="L54" i="11" s="1"/>
  <c r="J180" i="2"/>
  <c r="J269" i="2" s="1"/>
  <c r="J24" i="11" s="1"/>
  <c r="I318" i="2"/>
  <c r="I55" i="11" s="1"/>
  <c r="J312" i="2"/>
  <c r="J52" i="11" s="1"/>
  <c r="J336" i="2"/>
  <c r="K308" i="2"/>
  <c r="K49" i="11" s="1"/>
  <c r="J233" i="2"/>
  <c r="M231" i="2"/>
  <c r="M232" i="2"/>
  <c r="L195" i="2"/>
  <c r="L231" i="2"/>
  <c r="L323" i="2"/>
  <c r="L59" i="11" s="1"/>
  <c r="L232" i="2"/>
  <c r="L313" i="2"/>
  <c r="L53" i="11" s="1"/>
  <c r="L191" i="2"/>
  <c r="J172" i="2"/>
  <c r="J263" i="2" s="1"/>
  <c r="J20" i="11" s="1"/>
  <c r="L187" i="2"/>
  <c r="L179" i="2"/>
  <c r="L180" i="2" s="1"/>
  <c r="L269" i="2" s="1"/>
  <c r="L24" i="11" s="1"/>
  <c r="L199" i="2"/>
  <c r="L308" i="2" s="1"/>
  <c r="L49" i="11" s="1"/>
  <c r="L147" i="2"/>
  <c r="J156" i="2"/>
  <c r="J251" i="2" s="1"/>
  <c r="J12" i="11" s="1"/>
  <c r="I156" i="2"/>
  <c r="I251" i="2" s="1"/>
  <c r="J168" i="2"/>
  <c r="J264" i="2"/>
  <c r="J21" i="11" s="1"/>
  <c r="J148" i="2"/>
  <c r="J245" i="2" s="1"/>
  <c r="K192" i="2"/>
  <c r="K278" i="2" s="1"/>
  <c r="K30" i="11" s="1"/>
  <c r="K229" i="2"/>
  <c r="K299" i="2" s="1"/>
  <c r="K43" i="11" s="1"/>
  <c r="J270" i="2"/>
  <c r="J25" i="11" s="1"/>
  <c r="I214" i="2"/>
  <c r="I340" i="2" s="1"/>
  <c r="I353" i="2" s="1"/>
  <c r="J214" i="2"/>
  <c r="J340" i="2" s="1"/>
  <c r="J353" i="2" s="1"/>
  <c r="J164" i="2"/>
  <c r="J257" i="2" s="1"/>
  <c r="J144" i="2"/>
  <c r="J241" i="2" s="1"/>
  <c r="J152" i="2"/>
  <c r="J248" i="2" s="1"/>
  <c r="J10" i="11" s="1"/>
  <c r="J188" i="2"/>
  <c r="J275" i="2" s="1"/>
  <c r="K251" i="2"/>
  <c r="I168" i="2"/>
  <c r="J176" i="2"/>
  <c r="J266" i="2" s="1"/>
  <c r="K172" i="2"/>
  <c r="K263" i="2" s="1"/>
  <c r="K20" i="11" s="1"/>
  <c r="I164" i="2"/>
  <c r="I257" i="2" s="1"/>
  <c r="J226" i="2"/>
  <c r="J296" i="2" s="1"/>
  <c r="J41" i="11" s="1"/>
  <c r="J249" i="2"/>
  <c r="J11" i="11" s="1"/>
  <c r="K226" i="2"/>
  <c r="K296" i="2" s="1"/>
  <c r="K41" i="11" s="1"/>
  <c r="I229" i="2"/>
  <c r="I299" i="2" s="1"/>
  <c r="I43" i="11" s="1"/>
  <c r="J192" i="2"/>
  <c r="J278" i="2" s="1"/>
  <c r="J30" i="11" s="1"/>
  <c r="I144" i="2"/>
  <c r="I241" i="2" s="1"/>
  <c r="K148" i="2"/>
  <c r="K245" i="2" s="1"/>
  <c r="I192" i="2"/>
  <c r="I278" i="2" s="1"/>
  <c r="I30" i="11" s="1"/>
  <c r="J229" i="2"/>
  <c r="J299" i="2" s="1"/>
  <c r="J43" i="11" s="1"/>
  <c r="I176" i="2"/>
  <c r="I266" i="2" s="1"/>
  <c r="I226" i="2"/>
  <c r="I296" i="2" s="1"/>
  <c r="I41" i="11" s="1"/>
  <c r="I223" i="2"/>
  <c r="I293" i="2" s="1"/>
  <c r="K152" i="2"/>
  <c r="K248" i="2" s="1"/>
  <c r="K10" i="11" s="1"/>
  <c r="I148" i="2"/>
  <c r="I245" i="2" s="1"/>
  <c r="L228" i="2"/>
  <c r="L225" i="2"/>
  <c r="L217" i="2"/>
  <c r="I188" i="2"/>
  <c r="I275" i="2" s="1"/>
  <c r="F2" i="2"/>
  <c r="L155" i="2"/>
  <c r="L151" i="2"/>
  <c r="F152" i="2" s="1"/>
  <c r="M152" i="2" s="1"/>
  <c r="M248" i="2" s="1"/>
  <c r="M10" i="11" s="1"/>
  <c r="L143" i="2"/>
  <c r="L203" i="2"/>
  <c r="L204" i="2" s="1"/>
  <c r="J141" i="2"/>
  <c r="J237" i="2" s="1"/>
  <c r="J4" i="11" s="1"/>
  <c r="L171" i="2"/>
  <c r="L172" i="2" s="1"/>
  <c r="L167" i="2"/>
  <c r="L163" i="2"/>
  <c r="L159" i="2"/>
  <c r="L160" i="2" s="1"/>
  <c r="L254" i="2" s="1"/>
  <c r="M225" i="2"/>
  <c r="M217" i="2"/>
  <c r="M228" i="2"/>
  <c r="I196" i="2"/>
  <c r="I281" i="2" s="1"/>
  <c r="K223" i="2"/>
  <c r="K293" i="2" s="1"/>
  <c r="L218" i="2"/>
  <c r="J223" i="2"/>
  <c r="J293" i="2" s="1"/>
  <c r="J200" i="2"/>
  <c r="J307" i="2" s="1"/>
  <c r="J48" i="11" s="1"/>
  <c r="J218" i="2"/>
  <c r="I184" i="2"/>
  <c r="I272" i="2" s="1"/>
  <c r="J196" i="2"/>
  <c r="J281" i="2" s="1"/>
  <c r="L140" i="2"/>
  <c r="L210" i="2"/>
  <c r="L207" i="2"/>
  <c r="L211" i="2"/>
  <c r="L212" i="2"/>
  <c r="L208" i="2"/>
  <c r="L213" i="2"/>
  <c r="L209" i="2"/>
  <c r="J184" i="2"/>
  <c r="J272" i="2" s="1"/>
  <c r="M187" i="2"/>
  <c r="M171" i="2"/>
  <c r="M155" i="2"/>
  <c r="M191" i="2"/>
  <c r="M175" i="2"/>
  <c r="M159" i="2"/>
  <c r="M203" i="2"/>
  <c r="M195" i="2"/>
  <c r="M179" i="2"/>
  <c r="M163" i="2"/>
  <c r="M143" i="2"/>
  <c r="M199" i="2"/>
  <c r="M218" i="2" s="1"/>
  <c r="M183" i="2"/>
  <c r="M167" i="2"/>
  <c r="M151" i="2"/>
  <c r="M147" i="2"/>
  <c r="M140" i="2"/>
  <c r="O2" i="2"/>
  <c r="N3" i="2"/>
  <c r="N72" i="11" s="1"/>
  <c r="N77" i="11" s="1"/>
  <c r="K367" i="2" l="1"/>
  <c r="K370" i="2"/>
  <c r="K361" i="2"/>
  <c r="L321" i="2"/>
  <c r="L57" i="11" s="1"/>
  <c r="K200" i="2"/>
  <c r="K307" i="2" s="1"/>
  <c r="K48" i="11" s="1"/>
  <c r="L220" i="2"/>
  <c r="K255" i="2"/>
  <c r="K15" i="11" s="1"/>
  <c r="O3" i="11"/>
  <c r="O73" i="11" s="1"/>
  <c r="O76" i="11" s="1"/>
  <c r="O386" i="2"/>
  <c r="L270" i="2"/>
  <c r="L25" i="11" s="1"/>
  <c r="L255" i="2"/>
  <c r="L15" i="11" s="1"/>
  <c r="J74" i="11"/>
  <c r="J77" i="11" s="1"/>
  <c r="K319" i="2"/>
  <c r="K54" i="11"/>
  <c r="I273" i="2"/>
  <c r="I27" i="11" s="1"/>
  <c r="I26" i="11"/>
  <c r="J294" i="2"/>
  <c r="J39" i="11"/>
  <c r="I282" i="2"/>
  <c r="I33" i="11" s="1"/>
  <c r="I32" i="11"/>
  <c r="K311" i="2"/>
  <c r="K47" i="11"/>
  <c r="I276" i="2"/>
  <c r="I29" i="11" s="1"/>
  <c r="I28" i="11"/>
  <c r="I246" i="2"/>
  <c r="I9" i="11" s="1"/>
  <c r="I8" i="11"/>
  <c r="I267" i="2"/>
  <c r="I23" i="11" s="1"/>
  <c r="I22" i="11"/>
  <c r="I242" i="2"/>
  <c r="I6" i="11"/>
  <c r="J276" i="2"/>
  <c r="J29" i="11" s="1"/>
  <c r="J28" i="11"/>
  <c r="J258" i="2"/>
  <c r="J17" i="11" s="1"/>
  <c r="J16" i="11"/>
  <c r="J246" i="2"/>
  <c r="J9" i="11" s="1"/>
  <c r="J8" i="11"/>
  <c r="K342" i="2"/>
  <c r="K347" i="2" s="1"/>
  <c r="J319" i="2"/>
  <c r="J57" i="11"/>
  <c r="I355" i="2"/>
  <c r="I322" i="2" s="1"/>
  <c r="I58" i="11" s="1"/>
  <c r="I56" i="11"/>
  <c r="K14" i="11"/>
  <c r="J220" i="2"/>
  <c r="J306" i="2" s="1"/>
  <c r="I258" i="2"/>
  <c r="I17" i="11" s="1"/>
  <c r="I16" i="11"/>
  <c r="J242" i="2"/>
  <c r="J6" i="11"/>
  <c r="I252" i="2"/>
  <c r="I13" i="11" s="1"/>
  <c r="I12" i="11"/>
  <c r="I74" i="11" s="1"/>
  <c r="I77" i="11" s="1"/>
  <c r="J273" i="2"/>
  <c r="J27" i="11" s="1"/>
  <c r="J26" i="11"/>
  <c r="K196" i="2"/>
  <c r="K281" i="2" s="1"/>
  <c r="L14" i="11"/>
  <c r="K141" i="2"/>
  <c r="K237" i="2" s="1"/>
  <c r="K4" i="11" s="1"/>
  <c r="K164" i="2"/>
  <c r="K257" i="2" s="1"/>
  <c r="J267" i="2"/>
  <c r="J23" i="11" s="1"/>
  <c r="J22" i="11"/>
  <c r="K144" i="2"/>
  <c r="K241" i="2" s="1"/>
  <c r="K176" i="2"/>
  <c r="K266" i="2" s="1"/>
  <c r="K318" i="2"/>
  <c r="K55" i="11" s="1"/>
  <c r="J282" i="2"/>
  <c r="J33" i="11" s="1"/>
  <c r="J32" i="11"/>
  <c r="K294" i="2"/>
  <c r="K39" i="11"/>
  <c r="K246" i="2"/>
  <c r="K9" i="11" s="1"/>
  <c r="K8" i="11"/>
  <c r="K252" i="2"/>
  <c r="K13" i="11" s="1"/>
  <c r="K12" i="11"/>
  <c r="K184" i="2"/>
  <c r="K272" i="2" s="1"/>
  <c r="N371" i="2"/>
  <c r="K180" i="2"/>
  <c r="I294" i="2"/>
  <c r="I39" i="11"/>
  <c r="K188" i="2"/>
  <c r="K275" i="2" s="1"/>
  <c r="L310" i="2"/>
  <c r="L50" i="11" s="1"/>
  <c r="M219" i="2"/>
  <c r="N219" i="2" s="1"/>
  <c r="M361" i="2"/>
  <c r="L380" i="2"/>
  <c r="N318" i="2"/>
  <c r="N55" i="11" s="1"/>
  <c r="N222" i="2"/>
  <c r="M310" i="2"/>
  <c r="M50" i="11" s="1"/>
  <c r="L370" i="2"/>
  <c r="M321" i="2"/>
  <c r="M57" i="11" s="1"/>
  <c r="L367" i="2"/>
  <c r="L342" i="2"/>
  <c r="L347" i="2" s="1"/>
  <c r="L200" i="2"/>
  <c r="L307" i="2" s="1"/>
  <c r="L48" i="11" s="1"/>
  <c r="L192" i="2"/>
  <c r="L278" i="2" s="1"/>
  <c r="L30" i="11" s="1"/>
  <c r="L156" i="2"/>
  <c r="L251" i="2" s="1"/>
  <c r="L12" i="11" s="1"/>
  <c r="L312" i="2"/>
  <c r="L52" i="11" s="1"/>
  <c r="L336" i="2"/>
  <c r="K312" i="2"/>
  <c r="K52" i="11" s="1"/>
  <c r="K336" i="2"/>
  <c r="F204" i="2"/>
  <c r="L331" i="2"/>
  <c r="L233" i="2"/>
  <c r="M233" i="2"/>
  <c r="N231" i="2"/>
  <c r="N232" i="2"/>
  <c r="L226" i="2"/>
  <c r="L296" i="2" s="1"/>
  <c r="L41" i="11" s="1"/>
  <c r="K297" i="2"/>
  <c r="F209" i="2"/>
  <c r="F211" i="2"/>
  <c r="L229" i="2"/>
  <c r="L299" i="2" s="1"/>
  <c r="L43" i="11" s="1"/>
  <c r="I297" i="2"/>
  <c r="I300" i="2"/>
  <c r="F212" i="2"/>
  <c r="L188" i="2"/>
  <c r="L275" i="2" s="1"/>
  <c r="L28" i="11" s="1"/>
  <c r="K260" i="2"/>
  <c r="I279" i="2"/>
  <c r="I31" i="11" s="1"/>
  <c r="I260" i="2"/>
  <c r="J260" i="2"/>
  <c r="F180" i="2"/>
  <c r="M180" i="2" s="1"/>
  <c r="M269" i="2" s="1"/>
  <c r="K269" i="2"/>
  <c r="K24" i="11" s="1"/>
  <c r="F172" i="2"/>
  <c r="M172" i="2" s="1"/>
  <c r="M263" i="2" s="1"/>
  <c r="M20" i="11" s="1"/>
  <c r="L263" i="2"/>
  <c r="L20" i="11" s="1"/>
  <c r="L264" i="2"/>
  <c r="L21" i="11" s="1"/>
  <c r="J252" i="2"/>
  <c r="J13" i="11" s="1"/>
  <c r="L214" i="2"/>
  <c r="L340" i="2" s="1"/>
  <c r="L353" i="2" s="1"/>
  <c r="L152" i="2"/>
  <c r="L248" i="2" s="1"/>
  <c r="L10" i="11" s="1"/>
  <c r="L168" i="2"/>
  <c r="L144" i="2"/>
  <c r="L241" i="2" s="1"/>
  <c r="L6" i="11" s="1"/>
  <c r="L249" i="2"/>
  <c r="N225" i="2"/>
  <c r="N217" i="2"/>
  <c r="N228" i="2"/>
  <c r="L238" i="2"/>
  <c r="L148" i="2"/>
  <c r="L164" i="2"/>
  <c r="L257" i="2" s="1"/>
  <c r="L16" i="11" s="1"/>
  <c r="L141" i="2"/>
  <c r="L237" i="2" s="1"/>
  <c r="L4" i="11" s="1"/>
  <c r="F213" i="2"/>
  <c r="F207" i="2"/>
  <c r="N152" i="2"/>
  <c r="N248" i="2" s="1"/>
  <c r="N10" i="11" s="1"/>
  <c r="L176" i="2"/>
  <c r="F208" i="2"/>
  <c r="F210" i="2"/>
  <c r="L306" i="2"/>
  <c r="L223" i="2"/>
  <c r="L293" i="2" s="1"/>
  <c r="L39" i="11" s="1"/>
  <c r="L196" i="2"/>
  <c r="L184" i="2"/>
  <c r="L272" i="2" s="1"/>
  <c r="L26" i="11" s="1"/>
  <c r="N199" i="2"/>
  <c r="N218" i="2" s="1"/>
  <c r="N183" i="2"/>
  <c r="N167" i="2"/>
  <c r="N151" i="2"/>
  <c r="N147" i="2"/>
  <c r="N187" i="2"/>
  <c r="N171" i="2"/>
  <c r="N155" i="2"/>
  <c r="N191" i="2"/>
  <c r="N175" i="2"/>
  <c r="N159" i="2"/>
  <c r="N203" i="2"/>
  <c r="N195" i="2"/>
  <c r="N179" i="2"/>
  <c r="N163" i="2"/>
  <c r="N143" i="2"/>
  <c r="N140" i="2"/>
  <c r="P2" i="2"/>
  <c r="O3" i="2"/>
  <c r="L319" i="2" l="1"/>
  <c r="K74" i="11"/>
  <c r="K77" i="11" s="1"/>
  <c r="P3" i="11"/>
  <c r="P73" i="11" s="1"/>
  <c r="P76" i="11" s="1"/>
  <c r="P386" i="2"/>
  <c r="E4" i="14"/>
  <c r="H6" i="17"/>
  <c r="G6" i="17"/>
  <c r="J6" i="17"/>
  <c r="I6" i="17"/>
  <c r="O371" i="2"/>
  <c r="O72" i="11"/>
  <c r="O77" i="11" s="1"/>
  <c r="J297" i="2"/>
  <c r="J369" i="2" s="1"/>
  <c r="K279" i="2"/>
  <c r="K31" i="11" s="1"/>
  <c r="J279" i="2"/>
  <c r="J31" i="11" s="1"/>
  <c r="J300" i="2"/>
  <c r="J44" i="11" s="1"/>
  <c r="K300" i="2"/>
  <c r="K377" i="2" s="1"/>
  <c r="K381" i="2" s="1"/>
  <c r="J311" i="2"/>
  <c r="J47" i="11"/>
  <c r="K276" i="2"/>
  <c r="K29" i="11" s="1"/>
  <c r="K28" i="11"/>
  <c r="K242" i="2"/>
  <c r="K6" i="11"/>
  <c r="K273" i="2"/>
  <c r="K27" i="11" s="1"/>
  <c r="K26" i="11"/>
  <c r="J333" i="2"/>
  <c r="J7" i="11"/>
  <c r="I369" i="2"/>
  <c r="I42" i="11"/>
  <c r="M270" i="2"/>
  <c r="M25" i="11" s="1"/>
  <c r="M24" i="11"/>
  <c r="J377" i="2"/>
  <c r="J381" i="2" s="1"/>
  <c r="O219" i="2"/>
  <c r="I368" i="2"/>
  <c r="I40" i="11"/>
  <c r="J355" i="2"/>
  <c r="J322" i="2" s="1"/>
  <c r="J58" i="11" s="1"/>
  <c r="J56" i="11"/>
  <c r="L318" i="2"/>
  <c r="L55" i="11" s="1"/>
  <c r="L5" i="11"/>
  <c r="M249" i="2"/>
  <c r="M11" i="11" s="1"/>
  <c r="L11" i="11"/>
  <c r="L74" i="11" s="1"/>
  <c r="L77" i="11" s="1"/>
  <c r="I261" i="2"/>
  <c r="I19" i="11" s="1"/>
  <c r="I18" i="11"/>
  <c r="L355" i="2"/>
  <c r="L322" i="2" s="1"/>
  <c r="L58" i="11" s="1"/>
  <c r="L56" i="11"/>
  <c r="L311" i="2"/>
  <c r="L47" i="11"/>
  <c r="J261" i="2"/>
  <c r="J19" i="11" s="1"/>
  <c r="J18" i="11"/>
  <c r="K261" i="2"/>
  <c r="K19" i="11" s="1"/>
  <c r="K18" i="11"/>
  <c r="I377" i="2"/>
  <c r="I381" i="2" s="1"/>
  <c r="I44" i="11"/>
  <c r="K369" i="2"/>
  <c r="K42" i="11"/>
  <c r="K368" i="2"/>
  <c r="K40" i="11"/>
  <c r="K267" i="2"/>
  <c r="K23" i="11" s="1"/>
  <c r="K22" i="11"/>
  <c r="K258" i="2"/>
  <c r="K17" i="11" s="1"/>
  <c r="K16" i="11"/>
  <c r="K282" i="2"/>
  <c r="K33" i="11" s="1"/>
  <c r="K32" i="11"/>
  <c r="I333" i="2"/>
  <c r="I7" i="11"/>
  <c r="K349" i="2"/>
  <c r="K51" i="11"/>
  <c r="J368" i="2"/>
  <c r="J40" i="11"/>
  <c r="K56" i="11"/>
  <c r="K355" i="2"/>
  <c r="K322" i="2" s="1"/>
  <c r="K58" i="11" s="1"/>
  <c r="F220" i="2"/>
  <c r="N233" i="2"/>
  <c r="O318" i="2"/>
  <c r="O55" i="11" s="1"/>
  <c r="O222" i="2"/>
  <c r="L294" i="2"/>
  <c r="F200" i="2"/>
  <c r="M200" i="2" s="1"/>
  <c r="M307" i="2" s="1"/>
  <c r="N172" i="2"/>
  <c r="N263" i="2" s="1"/>
  <c r="N20" i="11" s="1"/>
  <c r="F188" i="2"/>
  <c r="M188" i="2" s="1"/>
  <c r="M275" i="2" s="1"/>
  <c r="M28" i="11" s="1"/>
  <c r="O232" i="2"/>
  <c r="O231" i="2"/>
  <c r="I302" i="2"/>
  <c r="I45" i="11" s="1"/>
  <c r="I284" i="2"/>
  <c r="L242" i="2"/>
  <c r="N180" i="2"/>
  <c r="N269" i="2" s="1"/>
  <c r="M264" i="2"/>
  <c r="M21" i="11" s="1"/>
  <c r="L273" i="2"/>
  <c r="L27" i="11" s="1"/>
  <c r="F176" i="2"/>
  <c r="M176" i="2" s="1"/>
  <c r="M266" i="2" s="1"/>
  <c r="M22" i="11" s="1"/>
  <c r="L266" i="2"/>
  <c r="L276" i="2"/>
  <c r="L29" i="11" s="1"/>
  <c r="L258" i="2"/>
  <c r="L17" i="11" s="1"/>
  <c r="F196" i="2"/>
  <c r="L281" i="2"/>
  <c r="F168" i="2"/>
  <c r="M168" i="2" s="1"/>
  <c r="L260" i="2"/>
  <c r="L252" i="2"/>
  <c r="L13" i="11" s="1"/>
  <c r="N200" i="2"/>
  <c r="N307" i="2" s="1"/>
  <c r="N48" i="11" s="1"/>
  <c r="O228" i="2"/>
  <c r="O225" i="2"/>
  <c r="O217" i="2"/>
  <c r="O172" i="2"/>
  <c r="O263" i="2" s="1"/>
  <c r="O20" i="11" s="1"/>
  <c r="O152" i="2"/>
  <c r="O248" i="2" s="1"/>
  <c r="O10" i="11" s="1"/>
  <c r="L245" i="2"/>
  <c r="F148" i="2"/>
  <c r="F164" i="2"/>
  <c r="Q2" i="2"/>
  <c r="K6" i="17" s="1"/>
  <c r="P3" i="2"/>
  <c r="O203" i="2"/>
  <c r="O180" i="2"/>
  <c r="O269" i="2" s="1"/>
  <c r="O24" i="11" s="1"/>
  <c r="O195" i="2"/>
  <c r="O179" i="2"/>
  <c r="O163" i="2"/>
  <c r="O143" i="2"/>
  <c r="O199" i="2"/>
  <c r="O218" i="2" s="1"/>
  <c r="O183" i="2"/>
  <c r="O167" i="2"/>
  <c r="O151" i="2"/>
  <c r="O147" i="2"/>
  <c r="O187" i="2"/>
  <c r="O171" i="2"/>
  <c r="O155" i="2"/>
  <c r="O191" i="2"/>
  <c r="O175" i="2"/>
  <c r="O159" i="2"/>
  <c r="O140" i="2"/>
  <c r="J42" i="11" l="1"/>
  <c r="G34" i="17"/>
  <c r="G108" i="17" s="1"/>
  <c r="G38" i="17"/>
  <c r="G37" i="17"/>
  <c r="G117" i="17" s="1"/>
  <c r="G35" i="17"/>
  <c r="G111" i="17" s="1"/>
  <c r="K37" i="17"/>
  <c r="K117" i="17" s="1"/>
  <c r="E70" i="14"/>
  <c r="L70" i="14" s="1"/>
  <c r="G13" i="17" s="1"/>
  <c r="E78" i="14"/>
  <c r="E73" i="14"/>
  <c r="L73" i="14" s="1"/>
  <c r="G16" i="17" s="1"/>
  <c r="E79" i="14"/>
  <c r="L79" i="14" s="1"/>
  <c r="G22" i="17" s="1"/>
  <c r="P371" i="2"/>
  <c r="K35" i="17" s="1"/>
  <c r="K111" i="17" s="1"/>
  <c r="P72" i="11"/>
  <c r="P77" i="11" s="1"/>
  <c r="J37" i="17"/>
  <c r="J117" i="17" s="1"/>
  <c r="J35" i="17"/>
  <c r="J111" i="17" s="1"/>
  <c r="Q3" i="11"/>
  <c r="Q73" i="11" s="1"/>
  <c r="Q76" i="11" s="1"/>
  <c r="Q386" i="2"/>
  <c r="E67" i="14"/>
  <c r="L67" i="14" s="1"/>
  <c r="G10" i="17" s="1"/>
  <c r="G53" i="17" s="1"/>
  <c r="E80" i="14"/>
  <c r="H37" i="17"/>
  <c r="H117" i="17" s="1"/>
  <c r="H35" i="17"/>
  <c r="H111" i="17" s="1"/>
  <c r="N249" i="2"/>
  <c r="N11" i="11" s="1"/>
  <c r="J284" i="2"/>
  <c r="J34" i="11" s="1"/>
  <c r="E13" i="14"/>
  <c r="I37" i="17"/>
  <c r="I117" i="17" s="1"/>
  <c r="I35" i="17"/>
  <c r="I111" i="17" s="1"/>
  <c r="J302" i="2"/>
  <c r="J45" i="11" s="1"/>
  <c r="K302" i="2"/>
  <c r="K45" i="11" s="1"/>
  <c r="K44" i="11"/>
  <c r="L349" i="2"/>
  <c r="L51" i="11"/>
  <c r="K284" i="2"/>
  <c r="K34" i="11" s="1"/>
  <c r="P219" i="2"/>
  <c r="I372" i="2"/>
  <c r="I334" i="2"/>
  <c r="I335" i="2" s="1"/>
  <c r="I346" i="2" s="1"/>
  <c r="I350" i="2" s="1"/>
  <c r="I354" i="2" s="1"/>
  <c r="I34" i="11"/>
  <c r="L282" i="2"/>
  <c r="L33" i="11" s="1"/>
  <c r="L32" i="11"/>
  <c r="L267" i="2"/>
  <c r="L23" i="11" s="1"/>
  <c r="L22" i="11"/>
  <c r="N270" i="2"/>
  <c r="N25" i="11" s="1"/>
  <c r="N24" i="11"/>
  <c r="M308" i="2"/>
  <c r="M336" i="2" s="1"/>
  <c r="H30" i="17" s="1"/>
  <c r="H70" i="17" s="1"/>
  <c r="M48" i="11"/>
  <c r="K372" i="2"/>
  <c r="L261" i="2"/>
  <c r="L19" i="11" s="1"/>
  <c r="L18" i="11"/>
  <c r="J372" i="2"/>
  <c r="L246" i="2"/>
  <c r="L279" i="2" s="1"/>
  <c r="L8" i="11"/>
  <c r="L333" i="2"/>
  <c r="L7" i="11"/>
  <c r="L368" i="2"/>
  <c r="E68" i="14" s="1"/>
  <c r="L68" i="14" s="1"/>
  <c r="G11" i="17" s="1"/>
  <c r="L40" i="11"/>
  <c r="K333" i="2"/>
  <c r="K7" i="11"/>
  <c r="J349" i="2"/>
  <c r="J51" i="11"/>
  <c r="O220" i="2"/>
  <c r="O306" i="2" s="1"/>
  <c r="M220" i="2"/>
  <c r="M306" i="2" s="1"/>
  <c r="N220" i="2"/>
  <c r="N306" i="2" s="1"/>
  <c r="P318" i="2"/>
  <c r="P55" i="11" s="1"/>
  <c r="P222" i="2"/>
  <c r="O200" i="2"/>
  <c r="O307" i="2" s="1"/>
  <c r="O48" i="11" s="1"/>
  <c r="O188" i="2"/>
  <c r="O275" i="2" s="1"/>
  <c r="O28" i="11" s="1"/>
  <c r="N188" i="2"/>
  <c r="N275" i="2" s="1"/>
  <c r="N28" i="11" s="1"/>
  <c r="J290" i="2"/>
  <c r="J38" i="11" s="1"/>
  <c r="N264" i="2"/>
  <c r="K290" i="2"/>
  <c r="K38" i="11" s="1"/>
  <c r="O233" i="2"/>
  <c r="P231" i="2"/>
  <c r="P232" i="2"/>
  <c r="K287" i="2"/>
  <c r="K36" i="11" s="1"/>
  <c r="I287" i="2"/>
  <c r="I36" i="11" s="1"/>
  <c r="I290" i="2"/>
  <c r="I38" i="11" s="1"/>
  <c r="O168" i="2"/>
  <c r="O260" i="2" s="1"/>
  <c r="O18" i="11" s="1"/>
  <c r="N168" i="2"/>
  <c r="N260" i="2" s="1"/>
  <c r="O176" i="2"/>
  <c r="O266" i="2" s="1"/>
  <c r="O22" i="11" s="1"/>
  <c r="N176" i="2"/>
  <c r="N266" i="2" s="1"/>
  <c r="N22" i="11" s="1"/>
  <c r="M260" i="2"/>
  <c r="P228" i="2"/>
  <c r="P225" i="2"/>
  <c r="P217" i="2"/>
  <c r="P188" i="2"/>
  <c r="P275" i="2" s="1"/>
  <c r="P28" i="11" s="1"/>
  <c r="P176" i="2"/>
  <c r="P266" i="2" s="1"/>
  <c r="P22" i="11" s="1"/>
  <c r="P172" i="2"/>
  <c r="P263" i="2" s="1"/>
  <c r="P20" i="11" s="1"/>
  <c r="P152" i="2"/>
  <c r="P248" i="2" s="1"/>
  <c r="P10" i="11" s="1"/>
  <c r="P168" i="2"/>
  <c r="P148" i="2"/>
  <c r="P245" i="2" s="1"/>
  <c r="P8" i="11" s="1"/>
  <c r="M148" i="2"/>
  <c r="M245" i="2" s="1"/>
  <c r="M8" i="11" s="1"/>
  <c r="N148" i="2"/>
  <c r="N245" i="2" s="1"/>
  <c r="N8" i="11" s="1"/>
  <c r="O148" i="2"/>
  <c r="O245" i="2" s="1"/>
  <c r="O8" i="11" s="1"/>
  <c r="N164" i="2"/>
  <c r="N257" i="2" s="1"/>
  <c r="N16" i="11" s="1"/>
  <c r="P164" i="2"/>
  <c r="P257" i="2" s="1"/>
  <c r="P16" i="11" s="1"/>
  <c r="M164" i="2"/>
  <c r="M257" i="2" s="1"/>
  <c r="M16" i="11" s="1"/>
  <c r="O164" i="2"/>
  <c r="O257" i="2" s="1"/>
  <c r="O16" i="11" s="1"/>
  <c r="P191" i="2"/>
  <c r="P175" i="2"/>
  <c r="P159" i="2"/>
  <c r="P203" i="2"/>
  <c r="P180" i="2"/>
  <c r="P269" i="2" s="1"/>
  <c r="P24" i="11" s="1"/>
  <c r="P195" i="2"/>
  <c r="P179" i="2"/>
  <c r="P163" i="2"/>
  <c r="P143" i="2"/>
  <c r="P199" i="2"/>
  <c r="P218" i="2" s="1"/>
  <c r="P183" i="2"/>
  <c r="P167" i="2"/>
  <c r="P151" i="2"/>
  <c r="P147" i="2"/>
  <c r="P187" i="2"/>
  <c r="P171" i="2"/>
  <c r="P155" i="2"/>
  <c r="P140" i="2"/>
  <c r="P200" i="2"/>
  <c r="P307" i="2" s="1"/>
  <c r="P48" i="11" s="1"/>
  <c r="R2" i="2"/>
  <c r="Q3" i="2"/>
  <c r="L297" i="2" l="1"/>
  <c r="L42" i="11" s="1"/>
  <c r="O249" i="2"/>
  <c r="O11" i="11" s="1"/>
  <c r="J287" i="2"/>
  <c r="J36" i="11" s="1"/>
  <c r="G32" i="17"/>
  <c r="G106" i="17" s="1"/>
  <c r="J334" i="2"/>
  <c r="J335" i="2" s="1"/>
  <c r="J346" i="2" s="1"/>
  <c r="H51" i="17"/>
  <c r="G105" i="17"/>
  <c r="H55" i="17"/>
  <c r="H74" i="17" s="1"/>
  <c r="H89" i="17" s="1"/>
  <c r="I80" i="14"/>
  <c r="E52" i="14"/>
  <c r="K303" i="2"/>
  <c r="K46" i="11" s="1"/>
  <c r="I337" i="2"/>
  <c r="I341" i="2" s="1"/>
  <c r="I343" i="2" s="1"/>
  <c r="Q371" i="2"/>
  <c r="Q72" i="11"/>
  <c r="Q77" i="11" s="1"/>
  <c r="J303" i="2"/>
  <c r="J348" i="2" s="1"/>
  <c r="Q219" i="2"/>
  <c r="R3" i="11"/>
  <c r="R73" i="11" s="1"/>
  <c r="R76" i="11" s="1"/>
  <c r="R386" i="2"/>
  <c r="K334" i="2"/>
  <c r="K335" i="2" s="1"/>
  <c r="K337" i="2" s="1"/>
  <c r="L284" i="2"/>
  <c r="L34" i="11" s="1"/>
  <c r="L31" i="11"/>
  <c r="N311" i="2"/>
  <c r="N47" i="11"/>
  <c r="O270" i="2"/>
  <c r="O25" i="11" s="1"/>
  <c r="Q220" i="2"/>
  <c r="Q306" i="2" s="1"/>
  <c r="J383" i="2"/>
  <c r="J384" i="2" s="1"/>
  <c r="J374" i="2"/>
  <c r="J373" i="2"/>
  <c r="L300" i="2"/>
  <c r="L302" i="2" s="1"/>
  <c r="L9" i="11"/>
  <c r="N261" i="2"/>
  <c r="N19" i="11" s="1"/>
  <c r="N18" i="11"/>
  <c r="M311" i="2"/>
  <c r="M47" i="11"/>
  <c r="O311" i="2"/>
  <c r="O47" i="11"/>
  <c r="M312" i="2"/>
  <c r="M52" i="11" s="1"/>
  <c r="M49" i="11"/>
  <c r="K374" i="2"/>
  <c r="K373" i="2"/>
  <c r="K383" i="2"/>
  <c r="K384" i="2" s="1"/>
  <c r="M261" i="2"/>
  <c r="M19" i="11" s="1"/>
  <c r="M18" i="11"/>
  <c r="K348" i="2"/>
  <c r="O264" i="2"/>
  <c r="O21" i="11" s="1"/>
  <c r="N21" i="11"/>
  <c r="P220" i="2"/>
  <c r="P306" i="2" s="1"/>
  <c r="I383" i="2"/>
  <c r="I384" i="2" s="1"/>
  <c r="I373" i="2"/>
  <c r="I374" i="2"/>
  <c r="I388" i="2"/>
  <c r="I356" i="2"/>
  <c r="I357" i="2" s="1"/>
  <c r="I363" i="2" s="1"/>
  <c r="Q318" i="2"/>
  <c r="Q55" i="11" s="1"/>
  <c r="Q222" i="2"/>
  <c r="L369" i="2"/>
  <c r="G33" i="17" s="1"/>
  <c r="G107" i="17" s="1"/>
  <c r="J337" i="2"/>
  <c r="P233" i="2"/>
  <c r="Q231" i="2"/>
  <c r="Q232" i="2"/>
  <c r="P270" i="2"/>
  <c r="P25" i="11" s="1"/>
  <c r="P249" i="2"/>
  <c r="P11" i="11" s="1"/>
  <c r="O261" i="2"/>
  <c r="O19" i="11" s="1"/>
  <c r="P264" i="2"/>
  <c r="P21" i="11" s="1"/>
  <c r="P260" i="2"/>
  <c r="P18" i="11" s="1"/>
  <c r="Q225" i="2"/>
  <c r="Q217" i="2"/>
  <c r="Q228" i="2"/>
  <c r="Q188" i="2"/>
  <c r="Q275" i="2" s="1"/>
  <c r="Q28" i="11" s="1"/>
  <c r="Q172" i="2"/>
  <c r="Q263" i="2" s="1"/>
  <c r="Q20" i="11" s="1"/>
  <c r="Q176" i="2"/>
  <c r="Q266" i="2" s="1"/>
  <c r="Q22" i="11" s="1"/>
  <c r="Q152" i="2"/>
  <c r="Q248" i="2" s="1"/>
  <c r="Q10" i="11" s="1"/>
  <c r="Q168" i="2"/>
  <c r="Q148" i="2"/>
  <c r="Q245" i="2" s="1"/>
  <c r="Q8" i="11" s="1"/>
  <c r="Q164" i="2"/>
  <c r="Q257" i="2" s="1"/>
  <c r="Q16" i="11" s="1"/>
  <c r="Q187" i="2"/>
  <c r="Q171" i="2"/>
  <c r="Q155" i="2"/>
  <c r="Q191" i="2"/>
  <c r="Q175" i="2"/>
  <c r="Q159" i="2"/>
  <c r="Q203" i="2"/>
  <c r="Q180" i="2"/>
  <c r="Q269" i="2" s="1"/>
  <c r="Q24" i="11" s="1"/>
  <c r="Q195" i="2"/>
  <c r="Q179" i="2"/>
  <c r="Q163" i="2"/>
  <c r="Q143" i="2"/>
  <c r="Q199" i="2"/>
  <c r="Q218" i="2" s="1"/>
  <c r="Q183" i="2"/>
  <c r="Q167" i="2"/>
  <c r="Q151" i="2"/>
  <c r="Q147" i="2"/>
  <c r="Q140" i="2"/>
  <c r="Q200" i="2"/>
  <c r="Q307" i="2" s="1"/>
  <c r="Q48" i="11" s="1"/>
  <c r="S2" i="2"/>
  <c r="R3" i="2"/>
  <c r="R72" i="11" s="1"/>
  <c r="R77" i="11" s="1"/>
  <c r="M313" i="2" l="1"/>
  <c r="L287" i="2"/>
  <c r="L36" i="11" s="1"/>
  <c r="H48" i="17"/>
  <c r="S3" i="11"/>
  <c r="S73" i="11" s="1"/>
  <c r="S76" i="11" s="1"/>
  <c r="S386" i="2"/>
  <c r="K346" i="2"/>
  <c r="K350" i="2" s="1"/>
  <c r="K354" i="2" s="1"/>
  <c r="K356" i="2" s="1"/>
  <c r="K357" i="2" s="1"/>
  <c r="K363" i="2" s="1"/>
  <c r="J46" i="11"/>
  <c r="J350" i="2"/>
  <c r="J354" i="2" s="1"/>
  <c r="J356" i="2" s="1"/>
  <c r="J357" i="2" s="1"/>
  <c r="J363" i="2" s="1"/>
  <c r="L372" i="2"/>
  <c r="E74" i="14" s="1"/>
  <c r="E69" i="14"/>
  <c r="L69" i="14" s="1"/>
  <c r="G12" i="17" s="1"/>
  <c r="M53" i="11"/>
  <c r="L334" i="2"/>
  <c r="L335" i="2" s="1"/>
  <c r="L346" i="2" s="1"/>
  <c r="E7" i="14" s="1"/>
  <c r="E8" i="14" s="1"/>
  <c r="E14" i="14" s="1"/>
  <c r="L290" i="2"/>
  <c r="L38" i="11" s="1"/>
  <c r="L303" i="2"/>
  <c r="L45" i="11"/>
  <c r="O349" i="2"/>
  <c r="J29" i="17" s="1"/>
  <c r="J84" i="17" s="1"/>
  <c r="O51" i="11"/>
  <c r="N349" i="2"/>
  <c r="I29" i="17" s="1"/>
  <c r="I84" i="17" s="1"/>
  <c r="N51" i="11"/>
  <c r="R371" i="2"/>
  <c r="R219" i="2"/>
  <c r="R220" i="2" s="1"/>
  <c r="R306" i="2" s="1"/>
  <c r="P311" i="2"/>
  <c r="P47" i="11"/>
  <c r="L377" i="2"/>
  <c r="G36" i="17" s="1"/>
  <c r="G115" i="17" s="1"/>
  <c r="L44" i="11"/>
  <c r="Q311" i="2"/>
  <c r="Q47" i="11"/>
  <c r="M349" i="2"/>
  <c r="H29" i="17" s="1"/>
  <c r="H84" i="17" s="1"/>
  <c r="M51" i="11"/>
  <c r="J341" i="2"/>
  <c r="J343" i="2" s="1"/>
  <c r="J388" i="2"/>
  <c r="I362" i="2"/>
  <c r="I387" i="2"/>
  <c r="M370" i="2"/>
  <c r="H34" i="17" s="1"/>
  <c r="H108" i="17" s="1"/>
  <c r="N310" i="2"/>
  <c r="K341" i="2"/>
  <c r="K343" i="2" s="1"/>
  <c r="K388" i="2"/>
  <c r="P261" i="2"/>
  <c r="P19" i="11" s="1"/>
  <c r="R318" i="2"/>
  <c r="R55" i="11" s="1"/>
  <c r="R222" i="2"/>
  <c r="Q264" i="2"/>
  <c r="Q21" i="11" s="1"/>
  <c r="L373" i="2"/>
  <c r="Q233" i="2"/>
  <c r="R231" i="2"/>
  <c r="R232" i="2"/>
  <c r="Q270" i="2"/>
  <c r="Q25" i="11" s="1"/>
  <c r="Q249" i="2"/>
  <c r="Q11" i="11" s="1"/>
  <c r="Q260" i="2"/>
  <c r="Q18" i="11" s="1"/>
  <c r="R225" i="2"/>
  <c r="R217" i="2"/>
  <c r="R228" i="2"/>
  <c r="R172" i="2"/>
  <c r="R263" i="2" s="1"/>
  <c r="R20" i="11" s="1"/>
  <c r="R176" i="2"/>
  <c r="R266" i="2" s="1"/>
  <c r="R22" i="11" s="1"/>
  <c r="R188" i="2"/>
  <c r="R275" i="2" s="1"/>
  <c r="R28" i="11" s="1"/>
  <c r="R152" i="2"/>
  <c r="R248" i="2" s="1"/>
  <c r="R10" i="11" s="1"/>
  <c r="R168" i="2"/>
  <c r="R148" i="2"/>
  <c r="R245" i="2" s="1"/>
  <c r="R8" i="11" s="1"/>
  <c r="R164" i="2"/>
  <c r="R257" i="2" s="1"/>
  <c r="R16" i="11" s="1"/>
  <c r="R199" i="2"/>
  <c r="R218" i="2" s="1"/>
  <c r="R183" i="2"/>
  <c r="R167" i="2"/>
  <c r="R151" i="2"/>
  <c r="R187" i="2"/>
  <c r="R171" i="2"/>
  <c r="R155" i="2"/>
  <c r="R147" i="2"/>
  <c r="R191" i="2"/>
  <c r="R175" i="2"/>
  <c r="R159" i="2"/>
  <c r="R203" i="2"/>
  <c r="R180" i="2"/>
  <c r="R269" i="2" s="1"/>
  <c r="R24" i="11" s="1"/>
  <c r="R195" i="2"/>
  <c r="R179" i="2"/>
  <c r="R163" i="2"/>
  <c r="R143" i="2"/>
  <c r="R140" i="2"/>
  <c r="R200" i="2"/>
  <c r="R307" i="2" s="1"/>
  <c r="R48" i="11" s="1"/>
  <c r="T2" i="2"/>
  <c r="S3" i="2"/>
  <c r="S72" i="11" s="1"/>
  <c r="S77" i="11" s="1"/>
  <c r="L337" i="2" l="1"/>
  <c r="L374" i="2"/>
  <c r="T386" i="2"/>
  <c r="O6" i="17"/>
  <c r="N6" i="17"/>
  <c r="L6" i="17"/>
  <c r="M6" i="17"/>
  <c r="E40" i="14"/>
  <c r="E26" i="14"/>
  <c r="E27" i="14" s="1"/>
  <c r="E41" i="14"/>
  <c r="H80" i="14" s="1"/>
  <c r="L381" i="2"/>
  <c r="E77" i="14"/>
  <c r="L77" i="14" s="1"/>
  <c r="G20" i="17" s="1"/>
  <c r="R311" i="2"/>
  <c r="R47" i="11"/>
  <c r="S371" i="2"/>
  <c r="Q349" i="2"/>
  <c r="Q51" i="11"/>
  <c r="T3" i="2"/>
  <c r="T3" i="11"/>
  <c r="T73" i="11" s="1"/>
  <c r="T76" i="11" s="1"/>
  <c r="P349" i="2"/>
  <c r="K29" i="17" s="1"/>
  <c r="K84" i="17" s="1"/>
  <c r="P51" i="11"/>
  <c r="N308" i="2"/>
  <c r="N49" i="11" s="1"/>
  <c r="N50" i="11"/>
  <c r="S219" i="2"/>
  <c r="S220" i="2" s="1"/>
  <c r="S306" i="2" s="1"/>
  <c r="L348" i="2"/>
  <c r="L350" i="2" s="1"/>
  <c r="L354" i="2" s="1"/>
  <c r="L356" i="2" s="1"/>
  <c r="L357" i="2" s="1"/>
  <c r="L363" i="2" s="1"/>
  <c r="L46" i="11"/>
  <c r="J362" i="2"/>
  <c r="J387" i="2"/>
  <c r="N336" i="2"/>
  <c r="I30" i="17" s="1"/>
  <c r="I70" i="17" s="1"/>
  <c r="L341" i="2"/>
  <c r="L343" i="2" s="1"/>
  <c r="E16" i="14" s="1"/>
  <c r="E17" i="14" s="1"/>
  <c r="L388" i="2"/>
  <c r="K362" i="2"/>
  <c r="K387" i="2"/>
  <c r="S318" i="2"/>
  <c r="S55" i="11" s="1"/>
  <c r="S222" i="2"/>
  <c r="R264" i="2"/>
  <c r="R21" i="11" s="1"/>
  <c r="R270" i="2"/>
  <c r="R25" i="11" s="1"/>
  <c r="R233" i="2"/>
  <c r="Q261" i="2"/>
  <c r="Q19" i="11" s="1"/>
  <c r="R249" i="2"/>
  <c r="R11" i="11" s="1"/>
  <c r="S232" i="2"/>
  <c r="S231" i="2"/>
  <c r="T232" i="2"/>
  <c r="R260" i="2"/>
  <c r="R18" i="11" s="1"/>
  <c r="S228" i="2"/>
  <c r="S225" i="2"/>
  <c r="S217" i="2"/>
  <c r="S172" i="2"/>
  <c r="S263" i="2" s="1"/>
  <c r="S20" i="11" s="1"/>
  <c r="S188" i="2"/>
  <c r="S275" i="2" s="1"/>
  <c r="S28" i="11" s="1"/>
  <c r="S176" i="2"/>
  <c r="S266" i="2" s="1"/>
  <c r="S22" i="11" s="1"/>
  <c r="S152" i="2"/>
  <c r="S248" i="2" s="1"/>
  <c r="S10" i="11" s="1"/>
  <c r="S168" i="2"/>
  <c r="S148" i="2"/>
  <c r="S245" i="2" s="1"/>
  <c r="S8" i="11" s="1"/>
  <c r="S164" i="2"/>
  <c r="S257" i="2" s="1"/>
  <c r="S16" i="11" s="1"/>
  <c r="T188" i="2"/>
  <c r="T275" i="2" s="1"/>
  <c r="T28" i="11" s="1"/>
  <c r="F192" i="2"/>
  <c r="F156" i="2"/>
  <c r="F141" i="2"/>
  <c r="S203" i="2"/>
  <c r="S180" i="2"/>
  <c r="S269" i="2" s="1"/>
  <c r="S24" i="11" s="1"/>
  <c r="S195" i="2"/>
  <c r="S179" i="2"/>
  <c r="S163" i="2"/>
  <c r="S199" i="2"/>
  <c r="S218" i="2" s="1"/>
  <c r="S183" i="2"/>
  <c r="S167" i="2"/>
  <c r="S151" i="2"/>
  <c r="S147" i="2"/>
  <c r="S143" i="2"/>
  <c r="S187" i="2"/>
  <c r="S171" i="2"/>
  <c r="S155" i="2"/>
  <c r="S191" i="2"/>
  <c r="S175" i="2"/>
  <c r="S159" i="2"/>
  <c r="S140" i="2"/>
  <c r="S200" i="2"/>
  <c r="S307" i="2" s="1"/>
  <c r="S48" i="11" s="1"/>
  <c r="T203" i="2"/>
  <c r="T163" i="2"/>
  <c r="T167" i="2"/>
  <c r="T171" i="2"/>
  <c r="S196" i="2"/>
  <c r="S281" i="2" s="1"/>
  <c r="S32" i="11" s="1"/>
  <c r="L29" i="17" l="1"/>
  <c r="L84" i="17" s="1"/>
  <c r="N35" i="17"/>
  <c r="N111" i="17" s="1"/>
  <c r="N37" i="17"/>
  <c r="N117" i="17" s="1"/>
  <c r="L37" i="17"/>
  <c r="L117" i="17" s="1"/>
  <c r="L35" i="17"/>
  <c r="L111" i="17" s="1"/>
  <c r="T371" i="2"/>
  <c r="O35" i="17" s="1"/>
  <c r="O111" i="17" s="1"/>
  <c r="T72" i="11"/>
  <c r="T77" i="11" s="1"/>
  <c r="O37" i="17"/>
  <c r="O117" i="17" s="1"/>
  <c r="M35" i="17"/>
  <c r="M111" i="17" s="1"/>
  <c r="M37" i="17"/>
  <c r="M117" i="17" s="1"/>
  <c r="E46" i="14"/>
  <c r="E42" i="14"/>
  <c r="G72" i="14" s="1"/>
  <c r="K72" i="14" s="1"/>
  <c r="L72" i="14" s="1"/>
  <c r="G15" i="17" s="1"/>
  <c r="G64" i="17" s="1"/>
  <c r="L383" i="2"/>
  <c r="L384" i="2" s="1"/>
  <c r="E81" i="14"/>
  <c r="E51" i="14"/>
  <c r="E53" i="14" s="1"/>
  <c r="F71" i="14" s="1"/>
  <c r="K71" i="14" s="1"/>
  <c r="N312" i="2"/>
  <c r="N52" i="11" s="1"/>
  <c r="S311" i="2"/>
  <c r="S47" i="11"/>
  <c r="T183" i="2"/>
  <c r="F184" i="2"/>
  <c r="N184" i="2" s="1"/>
  <c r="N272" i="2" s="1"/>
  <c r="N26" i="11" s="1"/>
  <c r="T231" i="2"/>
  <c r="T219" i="2"/>
  <c r="T140" i="2"/>
  <c r="T147" i="2"/>
  <c r="T199" i="2"/>
  <c r="T218" i="2" s="1"/>
  <c r="T195" i="2"/>
  <c r="T175" i="2"/>
  <c r="T148" i="2"/>
  <c r="T245" i="2" s="1"/>
  <c r="T8" i="11" s="1"/>
  <c r="T172" i="2"/>
  <c r="T263" i="2" s="1"/>
  <c r="T20" i="11" s="1"/>
  <c r="T225" i="2"/>
  <c r="F144" i="2"/>
  <c r="S144" i="2" s="1"/>
  <c r="S241" i="2" s="1"/>
  <c r="S6" i="11" s="1"/>
  <c r="T318" i="2"/>
  <c r="T55" i="11" s="1"/>
  <c r="T220" i="2"/>
  <c r="T306" i="2" s="1"/>
  <c r="T200" i="2"/>
  <c r="T307" i="2" s="1"/>
  <c r="T48" i="11" s="1"/>
  <c r="T187" i="2"/>
  <c r="T179" i="2"/>
  <c r="T159" i="2"/>
  <c r="T164" i="2"/>
  <c r="T257" i="2" s="1"/>
  <c r="T16" i="11" s="1"/>
  <c r="T152" i="2"/>
  <c r="T248" i="2" s="1"/>
  <c r="T10" i="11" s="1"/>
  <c r="T217" i="2"/>
  <c r="T222" i="2"/>
  <c r="T155" i="2"/>
  <c r="T151" i="2"/>
  <c r="T143" i="2"/>
  <c r="T180" i="2"/>
  <c r="T269" i="2" s="1"/>
  <c r="T24" i="11" s="1"/>
  <c r="T191" i="2"/>
  <c r="T168" i="2"/>
  <c r="T176" i="2"/>
  <c r="T266" i="2" s="1"/>
  <c r="T22" i="11" s="1"/>
  <c r="T228" i="2"/>
  <c r="F160" i="2"/>
  <c r="O160" i="2" s="1"/>
  <c r="O254" i="2" s="1"/>
  <c r="G373" i="2"/>
  <c r="R349" i="2"/>
  <c r="M29" i="17" s="1"/>
  <c r="M84" i="17" s="1"/>
  <c r="R51" i="11"/>
  <c r="L362" i="2"/>
  <c r="L387" i="2"/>
  <c r="S264" i="2"/>
  <c r="S21" i="11" s="1"/>
  <c r="S249" i="2"/>
  <c r="S270" i="2"/>
  <c r="R261" i="2"/>
  <c r="R19" i="11" s="1"/>
  <c r="T160" i="2"/>
  <c r="T254" i="2" s="1"/>
  <c r="S233" i="2"/>
  <c r="T233" i="2"/>
  <c r="S160" i="2"/>
  <c r="S254" i="2" s="1"/>
  <c r="Q160" i="2"/>
  <c r="Q254" i="2" s="1"/>
  <c r="T260" i="2"/>
  <c r="T18" i="11" s="1"/>
  <c r="S260" i="2"/>
  <c r="N156" i="2"/>
  <c r="N251" i="2" s="1"/>
  <c r="R156" i="2"/>
  <c r="O156" i="2"/>
  <c r="O251" i="2" s="1"/>
  <c r="S156" i="2"/>
  <c r="S251" i="2" s="1"/>
  <c r="P156" i="2"/>
  <c r="P251" i="2" s="1"/>
  <c r="T156" i="2"/>
  <c r="T251" i="2" s="1"/>
  <c r="T12" i="11" s="1"/>
  <c r="M156" i="2"/>
  <c r="M251" i="2" s="1"/>
  <c r="Q156" i="2"/>
  <c r="Q251" i="2" s="1"/>
  <c r="T144" i="2"/>
  <c r="T241" i="2" s="1"/>
  <c r="T6" i="11" s="1"/>
  <c r="N141" i="2"/>
  <c r="N237" i="2" s="1"/>
  <c r="N4" i="11" s="1"/>
  <c r="M141" i="2"/>
  <c r="M237" i="2" s="1"/>
  <c r="M4" i="11" s="1"/>
  <c r="P141" i="2"/>
  <c r="P237" i="2" s="1"/>
  <c r="P4" i="11" s="1"/>
  <c r="O141" i="2"/>
  <c r="O237" i="2" s="1"/>
  <c r="O4" i="11" s="1"/>
  <c r="Q141" i="2"/>
  <c r="Q237" i="2" s="1"/>
  <c r="Q4" i="11" s="1"/>
  <c r="R141" i="2"/>
  <c r="R237" i="2" s="1"/>
  <c r="R4" i="11" s="1"/>
  <c r="O184" i="2"/>
  <c r="O272" i="2" s="1"/>
  <c r="O26" i="11" s="1"/>
  <c r="R184" i="2"/>
  <c r="R272" i="2" s="1"/>
  <c r="R26" i="11" s="1"/>
  <c r="R251" i="2"/>
  <c r="T141" i="2"/>
  <c r="T237" i="2" s="1"/>
  <c r="T4" i="11" s="1"/>
  <c r="P192" i="2"/>
  <c r="P278" i="2" s="1"/>
  <c r="P30" i="11" s="1"/>
  <c r="M192" i="2"/>
  <c r="M278" i="2" s="1"/>
  <c r="M30" i="11" s="1"/>
  <c r="N192" i="2"/>
  <c r="N278" i="2" s="1"/>
  <c r="N30" i="11" s="1"/>
  <c r="O192" i="2"/>
  <c r="O278" i="2" s="1"/>
  <c r="O30" i="11" s="1"/>
  <c r="Q192" i="2"/>
  <c r="Q278" i="2" s="1"/>
  <c r="Q30" i="11" s="1"/>
  <c r="R192" i="2"/>
  <c r="R278" i="2" s="1"/>
  <c r="R30" i="11" s="1"/>
  <c r="S192" i="2"/>
  <c r="S278" i="2" s="1"/>
  <c r="S30" i="11" s="1"/>
  <c r="T192" i="2"/>
  <c r="T278" i="2" s="1"/>
  <c r="T30" i="11" s="1"/>
  <c r="S141" i="2"/>
  <c r="S237" i="2" s="1"/>
  <c r="S4" i="11" s="1"/>
  <c r="R196" i="2"/>
  <c r="R281" i="2" s="1"/>
  <c r="R32" i="11" s="1"/>
  <c r="M196" i="2"/>
  <c r="M281" i="2" s="1"/>
  <c r="M32" i="11" s="1"/>
  <c r="N196" i="2"/>
  <c r="N281" i="2" s="1"/>
  <c r="N32" i="11" s="1"/>
  <c r="O196" i="2"/>
  <c r="O281" i="2" s="1"/>
  <c r="O32" i="11" s="1"/>
  <c r="P196" i="2"/>
  <c r="P281" i="2" s="1"/>
  <c r="P32" i="11" s="1"/>
  <c r="Q196" i="2"/>
  <c r="Q281" i="2" s="1"/>
  <c r="Q32" i="11" s="1"/>
  <c r="T196" i="2"/>
  <c r="T281" i="2" s="1"/>
  <c r="T32" i="11" s="1"/>
  <c r="N207" i="2"/>
  <c r="T207" i="2"/>
  <c r="F223" i="2"/>
  <c r="T223" i="2" s="1"/>
  <c r="T293" i="2" s="1"/>
  <c r="T39" i="11" s="1"/>
  <c r="T208" i="2"/>
  <c r="M208" i="2"/>
  <c r="Q208" i="2"/>
  <c r="N213" i="2"/>
  <c r="T213" i="2"/>
  <c r="O210" i="2"/>
  <c r="T210" i="2"/>
  <c r="P210" i="2"/>
  <c r="R210" i="2"/>
  <c r="F229" i="2"/>
  <c r="P229" i="2" s="1"/>
  <c r="P299" i="2" s="1"/>
  <c r="P43" i="11" s="1"/>
  <c r="R204" i="2"/>
  <c r="R331" i="2" s="1"/>
  <c r="M31" i="17" s="1"/>
  <c r="Q211" i="2"/>
  <c r="F226" i="2"/>
  <c r="Q226" i="2" s="1"/>
  <c r="Q296" i="2" s="1"/>
  <c r="Q41" i="11" s="1"/>
  <c r="N209" i="2"/>
  <c r="R207" i="2"/>
  <c r="O212" i="2"/>
  <c r="R213" i="2"/>
  <c r="N313" i="2" l="1"/>
  <c r="G66" i="17"/>
  <c r="H64" i="17"/>
  <c r="R144" i="2"/>
  <c r="R241" i="2" s="1"/>
  <c r="R6" i="11" s="1"/>
  <c r="M144" i="2"/>
  <c r="M241" i="2" s="1"/>
  <c r="M6" i="11" s="1"/>
  <c r="E43" i="14"/>
  <c r="E47" i="14" s="1"/>
  <c r="E48" i="14" s="1"/>
  <c r="O144" i="2"/>
  <c r="O241" i="2" s="1"/>
  <c r="O6" i="11" s="1"/>
  <c r="K74" i="14"/>
  <c r="L74" i="14" s="1"/>
  <c r="G17" i="17" s="1"/>
  <c r="L71" i="14"/>
  <c r="G14" i="17" s="1"/>
  <c r="G78" i="14"/>
  <c r="K78" i="14" s="1"/>
  <c r="N53" i="11"/>
  <c r="N252" i="2"/>
  <c r="N13" i="11" s="1"/>
  <c r="N12" i="11"/>
  <c r="N74" i="11" s="1"/>
  <c r="N78" i="11" s="1"/>
  <c r="S14" i="11"/>
  <c r="O14" i="11"/>
  <c r="S252" i="2"/>
  <c r="S13" i="11" s="1"/>
  <c r="S12" i="11"/>
  <c r="R160" i="2"/>
  <c r="R254" i="2" s="1"/>
  <c r="P160" i="2"/>
  <c r="P254" i="2" s="1"/>
  <c r="Q144" i="2"/>
  <c r="Q241" i="2" s="1"/>
  <c r="Q6" i="11" s="1"/>
  <c r="N144" i="2"/>
  <c r="N241" i="2" s="1"/>
  <c r="N6" i="11" s="1"/>
  <c r="P184" i="2"/>
  <c r="P272" i="2" s="1"/>
  <c r="P26" i="11" s="1"/>
  <c r="M252" i="2"/>
  <c r="M13" i="11" s="1"/>
  <c r="M12" i="11"/>
  <c r="M74" i="11" s="1"/>
  <c r="M78" i="11" s="1"/>
  <c r="O252" i="2"/>
  <c r="O13" i="11" s="1"/>
  <c r="O12" i="11"/>
  <c r="M160" i="2"/>
  <c r="M254" i="2" s="1"/>
  <c r="M255" i="2" s="1"/>
  <c r="T270" i="2"/>
  <c r="T25" i="11" s="1"/>
  <c r="S25" i="11"/>
  <c r="P252" i="2"/>
  <c r="P13" i="11" s="1"/>
  <c r="P12" i="11"/>
  <c r="Q14" i="11"/>
  <c r="T14" i="11"/>
  <c r="Q184" i="2"/>
  <c r="Q272" i="2" s="1"/>
  <c r="Q26" i="11" s="1"/>
  <c r="M184" i="2"/>
  <c r="M272" i="2" s="1"/>
  <c r="M26" i="11" s="1"/>
  <c r="Q252" i="2"/>
  <c r="Q13" i="11" s="1"/>
  <c r="Q12" i="11"/>
  <c r="S261" i="2"/>
  <c r="S19" i="11" s="1"/>
  <c r="S18" i="11"/>
  <c r="T311" i="2"/>
  <c r="T47" i="11"/>
  <c r="T184" i="2"/>
  <c r="T272" i="2" s="1"/>
  <c r="T26" i="11" s="1"/>
  <c r="P144" i="2"/>
  <c r="P241" i="2" s="1"/>
  <c r="P6" i="11" s="1"/>
  <c r="S184" i="2"/>
  <c r="S272" i="2" s="1"/>
  <c r="S26" i="11" s="1"/>
  <c r="R252" i="2"/>
  <c r="R13" i="11" s="1"/>
  <c r="R12" i="11"/>
  <c r="T264" i="2"/>
  <c r="T21" i="11" s="1"/>
  <c r="N160" i="2"/>
  <c r="N254" i="2" s="1"/>
  <c r="N255" i="2" s="1"/>
  <c r="T249" i="2"/>
  <c r="T11" i="11" s="1"/>
  <c r="S11" i="11"/>
  <c r="S349" i="2"/>
  <c r="N29" i="17" s="1"/>
  <c r="N84" i="17" s="1"/>
  <c r="S51" i="11"/>
  <c r="M238" i="2"/>
  <c r="M5" i="11" s="1"/>
  <c r="T261" i="2"/>
  <c r="T19" i="11" s="1"/>
  <c r="S226" i="2"/>
  <c r="S296" i="2" s="1"/>
  <c r="S41" i="11" s="1"/>
  <c r="T226" i="2"/>
  <c r="T296" i="2" s="1"/>
  <c r="T41" i="11" s="1"/>
  <c r="R223" i="2"/>
  <c r="R293" i="2" s="1"/>
  <c r="R39" i="11" s="1"/>
  <c r="S223" i="2"/>
  <c r="S293" i="2" s="1"/>
  <c r="S39" i="11" s="1"/>
  <c r="S204" i="2"/>
  <c r="S331" i="2" s="1"/>
  <c r="N31" i="17" s="1"/>
  <c r="N204" i="2"/>
  <c r="N331" i="2" s="1"/>
  <c r="I31" i="17" s="1"/>
  <c r="M204" i="2"/>
  <c r="M331" i="2" s="1"/>
  <c r="H31" i="17" s="1"/>
  <c r="P211" i="2"/>
  <c r="T212" i="2"/>
  <c r="Q229" i="2"/>
  <c r="Q299" i="2" s="1"/>
  <c r="Q43" i="11" s="1"/>
  <c r="M212" i="2"/>
  <c r="M209" i="2"/>
  <c r="M211" i="2"/>
  <c r="M229" i="2"/>
  <c r="M299" i="2" s="1"/>
  <c r="M43" i="11" s="1"/>
  <c r="R211" i="2"/>
  <c r="N210" i="2"/>
  <c r="Q210" i="2"/>
  <c r="O213" i="2"/>
  <c r="S209" i="2"/>
  <c r="P209" i="2"/>
  <c r="O204" i="2"/>
  <c r="O331" i="2" s="1"/>
  <c r="J31" i="17" s="1"/>
  <c r="Q204" i="2"/>
  <c r="Q331" i="2" s="1"/>
  <c r="L31" i="17" s="1"/>
  <c r="P208" i="2"/>
  <c r="R208" i="2"/>
  <c r="P212" i="2"/>
  <c r="R212" i="2"/>
  <c r="N226" i="2"/>
  <c r="N296" i="2" s="1"/>
  <c r="N41" i="11" s="1"/>
  <c r="R226" i="2"/>
  <c r="R296" i="2" s="1"/>
  <c r="R41" i="11" s="1"/>
  <c r="S229" i="2"/>
  <c r="S299" i="2" s="1"/>
  <c r="S43" i="11" s="1"/>
  <c r="O223" i="2"/>
  <c r="O293" i="2" s="1"/>
  <c r="O39" i="11" s="1"/>
  <c r="Q223" i="2"/>
  <c r="Q293" i="2" s="1"/>
  <c r="Q39" i="11" s="1"/>
  <c r="O207" i="2"/>
  <c r="T211" i="2"/>
  <c r="Q212" i="2"/>
  <c r="O229" i="2"/>
  <c r="O299" i="2" s="1"/>
  <c r="O43" i="11" s="1"/>
  <c r="S211" i="2"/>
  <c r="N211" i="2"/>
  <c r="M210" i="2"/>
  <c r="S210" i="2"/>
  <c r="Q213" i="2"/>
  <c r="S213" i="2"/>
  <c r="R209" i="2"/>
  <c r="T209" i="2"/>
  <c r="T204" i="2"/>
  <c r="T331" i="2" s="1"/>
  <c r="O31" i="17" s="1"/>
  <c r="P204" i="2"/>
  <c r="P331" i="2" s="1"/>
  <c r="K31" i="17" s="1"/>
  <c r="S208" i="2"/>
  <c r="O208" i="2"/>
  <c r="S212" i="2"/>
  <c r="N212" i="2"/>
  <c r="P226" i="2"/>
  <c r="P296" i="2" s="1"/>
  <c r="P41" i="11" s="1"/>
  <c r="T229" i="2"/>
  <c r="T299" i="2" s="1"/>
  <c r="T43" i="11" s="1"/>
  <c r="N229" i="2"/>
  <c r="N299" i="2" s="1"/>
  <c r="N43" i="11" s="1"/>
  <c r="M223" i="2"/>
  <c r="M293" i="2" s="1"/>
  <c r="P223" i="2"/>
  <c r="P293" i="2" s="1"/>
  <c r="P39" i="11" s="1"/>
  <c r="Q207" i="2"/>
  <c r="S207" i="2"/>
  <c r="Q209" i="2"/>
  <c r="M213" i="2"/>
  <c r="M207" i="2"/>
  <c r="M226" i="2"/>
  <c r="M296" i="2" s="1"/>
  <c r="M41" i="11" s="1"/>
  <c r="O211" i="2"/>
  <c r="P213" i="2"/>
  <c r="O209" i="2"/>
  <c r="N208" i="2"/>
  <c r="O226" i="2"/>
  <c r="O296" i="2" s="1"/>
  <c r="O41" i="11" s="1"/>
  <c r="R229" i="2"/>
  <c r="R299" i="2" s="1"/>
  <c r="R43" i="11" s="1"/>
  <c r="N223" i="2"/>
  <c r="N293" i="2" s="1"/>
  <c r="N39" i="11" s="1"/>
  <c r="P207" i="2"/>
  <c r="O310" i="2" l="1"/>
  <c r="N370" i="2"/>
  <c r="I34" i="17" s="1"/>
  <c r="I108" i="17" s="1"/>
  <c r="T252" i="2"/>
  <c r="T13" i="11" s="1"/>
  <c r="J80" i="14"/>
  <c r="K80" i="14" s="1"/>
  <c r="L80" i="14" s="1"/>
  <c r="G23" i="17" s="1"/>
  <c r="G102" i="17" s="1"/>
  <c r="H98" i="17" s="1"/>
  <c r="G130" i="17"/>
  <c r="I109" i="17"/>
  <c r="M109" i="17"/>
  <c r="J109" i="17"/>
  <c r="N109" i="17"/>
  <c r="L109" i="17"/>
  <c r="K109" i="17"/>
  <c r="O109" i="17"/>
  <c r="H65" i="17"/>
  <c r="H71" i="17" s="1"/>
  <c r="I64" i="17"/>
  <c r="G109" i="17"/>
  <c r="H109" i="17"/>
  <c r="G110" i="17"/>
  <c r="L78" i="14"/>
  <c r="G21" i="17" s="1"/>
  <c r="G60" i="17" s="1"/>
  <c r="M276" i="2"/>
  <c r="M29" i="11" s="1"/>
  <c r="M246" i="2"/>
  <c r="M300" i="2" s="1"/>
  <c r="M242" i="2"/>
  <c r="N238" i="2"/>
  <c r="N5" i="11" s="1"/>
  <c r="M258" i="2"/>
  <c r="M17" i="11" s="1"/>
  <c r="M15" i="11"/>
  <c r="M14" i="11"/>
  <c r="P14" i="11"/>
  <c r="M282" i="2"/>
  <c r="M33" i="11" s="1"/>
  <c r="N15" i="11"/>
  <c r="N14" i="11"/>
  <c r="T349" i="2"/>
  <c r="O29" i="17" s="1"/>
  <c r="O84" i="17" s="1"/>
  <c r="T51" i="11"/>
  <c r="M294" i="2"/>
  <c r="M39" i="11"/>
  <c r="M273" i="2"/>
  <c r="M27" i="11" s="1"/>
  <c r="M267" i="2"/>
  <c r="M23" i="11" s="1"/>
  <c r="R14" i="11"/>
  <c r="N267" i="2"/>
  <c r="N23" i="11" s="1"/>
  <c r="N214" i="2"/>
  <c r="N340" i="2" s="1"/>
  <c r="N353" i="2" s="1"/>
  <c r="R214" i="2"/>
  <c r="R340" i="2" s="1"/>
  <c r="R353" i="2" s="1"/>
  <c r="T214" i="2"/>
  <c r="T340" i="2" s="1"/>
  <c r="T353" i="2" s="1"/>
  <c r="P214" i="2"/>
  <c r="P340" i="2" s="1"/>
  <c r="P353" i="2" s="1"/>
  <c r="Q214" i="2"/>
  <c r="Q340" i="2" s="1"/>
  <c r="Q353" i="2" s="1"/>
  <c r="M214" i="2"/>
  <c r="M340" i="2" s="1"/>
  <c r="M353" i="2" s="1"/>
  <c r="S214" i="2"/>
  <c r="S340" i="2" s="1"/>
  <c r="S353" i="2" s="1"/>
  <c r="O214" i="2"/>
  <c r="O340" i="2" s="1"/>
  <c r="O353" i="2" s="1"/>
  <c r="N242" i="2"/>
  <c r="K81" i="14" l="1"/>
  <c r="G118" i="17"/>
  <c r="O50" i="11"/>
  <c r="O308" i="2"/>
  <c r="N273" i="2"/>
  <c r="N27" i="11" s="1"/>
  <c r="N258" i="2"/>
  <c r="N17" i="11" s="1"/>
  <c r="H66" i="17"/>
  <c r="I65" i="17" s="1"/>
  <c r="I71" i="17" s="1"/>
  <c r="J64" i="17"/>
  <c r="G112" i="17"/>
  <c r="H58" i="17"/>
  <c r="G116" i="17"/>
  <c r="M297" i="2"/>
  <c r="M42" i="11" s="1"/>
  <c r="O238" i="2"/>
  <c r="O5" i="11" s="1"/>
  <c r="N294" i="2"/>
  <c r="N368" i="2" s="1"/>
  <c r="I32" i="17" s="1"/>
  <c r="I106" i="17" s="1"/>
  <c r="K83" i="14"/>
  <c r="L81" i="14"/>
  <c r="G24" i="17" s="1"/>
  <c r="N246" i="2"/>
  <c r="N297" i="2" s="1"/>
  <c r="N276" i="2"/>
  <c r="N29" i="11" s="1"/>
  <c r="M333" i="2"/>
  <c r="M317" i="2" s="1"/>
  <c r="H38" i="17" s="1"/>
  <c r="H47" i="17" s="1"/>
  <c r="H49" i="17" s="1"/>
  <c r="H91" i="17" s="1"/>
  <c r="H52" i="17" s="1"/>
  <c r="H53" i="17" s="1"/>
  <c r="M7" i="11"/>
  <c r="N333" i="2"/>
  <c r="N317" i="2" s="1"/>
  <c r="N7" i="11"/>
  <c r="M368" i="2"/>
  <c r="H32" i="17" s="1"/>
  <c r="H106" i="17" s="1"/>
  <c r="M40" i="11"/>
  <c r="N282" i="2"/>
  <c r="N33" i="11" s="1"/>
  <c r="M377" i="2"/>
  <c r="H36" i="17" s="1"/>
  <c r="H115" i="17" s="1"/>
  <c r="M44" i="11"/>
  <c r="M279" i="2"/>
  <c r="M9" i="11"/>
  <c r="M302" i="2"/>
  <c r="M369" i="2"/>
  <c r="H33" i="17" s="1"/>
  <c r="H107" i="17" s="1"/>
  <c r="O294" i="2"/>
  <c r="O267" i="2"/>
  <c r="O23" i="11" s="1"/>
  <c r="O276" i="2"/>
  <c r="O29" i="11" s="1"/>
  <c r="O258" i="2"/>
  <c r="O17" i="11" s="1"/>
  <c r="O282" i="2"/>
  <c r="O33" i="11" s="1"/>
  <c r="O273" i="2"/>
  <c r="O27" i="11" s="1"/>
  <c r="P238" i="2"/>
  <c r="P5" i="11" s="1"/>
  <c r="O246" i="2"/>
  <c r="O9" i="11" s="1"/>
  <c r="O242" i="2"/>
  <c r="O49" i="11" l="1"/>
  <c r="O312" i="2"/>
  <c r="O336" i="2"/>
  <c r="J30" i="17" s="1"/>
  <c r="J70" i="17" s="1"/>
  <c r="N40" i="11"/>
  <c r="H110" i="17"/>
  <c r="G119" i="17"/>
  <c r="G121" i="17" s="1"/>
  <c r="G124" i="17"/>
  <c r="H105" i="17"/>
  <c r="I55" i="17"/>
  <c r="I74" i="17" s="1"/>
  <c r="I89" i="17" s="1"/>
  <c r="I51" i="17"/>
  <c r="K64" i="17"/>
  <c r="I66" i="17"/>
  <c r="J65" i="17" s="1"/>
  <c r="J71" i="17" s="1"/>
  <c r="H61" i="17"/>
  <c r="H73" i="17" s="1"/>
  <c r="N54" i="11"/>
  <c r="I38" i="17"/>
  <c r="I47" i="17" s="1"/>
  <c r="N300" i="2"/>
  <c r="N377" i="2" s="1"/>
  <c r="I36" i="17" s="1"/>
  <c r="I115" i="17" s="1"/>
  <c r="M31" i="11"/>
  <c r="M284" i="2"/>
  <c r="N279" i="2"/>
  <c r="N31" i="11" s="1"/>
  <c r="N9" i="11"/>
  <c r="O333" i="2"/>
  <c r="O317" i="2" s="1"/>
  <c r="O7" i="11"/>
  <c r="O368" i="2"/>
  <c r="J32" i="17" s="1"/>
  <c r="J106" i="17" s="1"/>
  <c r="O40" i="11"/>
  <c r="M303" i="2"/>
  <c r="M45" i="11"/>
  <c r="N369" i="2"/>
  <c r="I33" i="17" s="1"/>
  <c r="I107" i="17" s="1"/>
  <c r="N42" i="11"/>
  <c r="M319" i="2"/>
  <c r="M54" i="11"/>
  <c r="P294" i="2"/>
  <c r="O279" i="2"/>
  <c r="O297" i="2"/>
  <c r="O300" i="2"/>
  <c r="P267" i="2"/>
  <c r="P23" i="11" s="1"/>
  <c r="P276" i="2"/>
  <c r="P29" i="11" s="1"/>
  <c r="P258" i="2"/>
  <c r="P17" i="11" s="1"/>
  <c r="P273" i="2"/>
  <c r="P27" i="11" s="1"/>
  <c r="P282" i="2"/>
  <c r="P33" i="11" s="1"/>
  <c r="P246" i="2"/>
  <c r="P9" i="11" s="1"/>
  <c r="Q238" i="2"/>
  <c r="Q5" i="11" s="1"/>
  <c r="P242" i="2"/>
  <c r="N302" i="2" l="1"/>
  <c r="N44" i="11"/>
  <c r="O52" i="11"/>
  <c r="O313" i="2"/>
  <c r="H112" i="17"/>
  <c r="H88" i="17"/>
  <c r="I48" i="17"/>
  <c r="I49" i="17"/>
  <c r="I91" i="17" s="1"/>
  <c r="I52" i="17" s="1"/>
  <c r="I53" i="17" s="1"/>
  <c r="L64" i="17"/>
  <c r="J66" i="17"/>
  <c r="I110" i="17"/>
  <c r="O54" i="11"/>
  <c r="J38" i="17"/>
  <c r="J47" i="17" s="1"/>
  <c r="O31" i="11"/>
  <c r="N303" i="2"/>
  <c r="N45" i="11"/>
  <c r="M355" i="2"/>
  <c r="M322" i="2" s="1"/>
  <c r="M56" i="11"/>
  <c r="O377" i="2"/>
  <c r="J36" i="17" s="1"/>
  <c r="J115" i="17" s="1"/>
  <c r="O44" i="11"/>
  <c r="M34" i="11"/>
  <c r="M334" i="2"/>
  <c r="M335" i="2" s="1"/>
  <c r="M290" i="2"/>
  <c r="M38" i="11" s="1"/>
  <c r="M287" i="2"/>
  <c r="M36" i="11" s="1"/>
  <c r="P368" i="2"/>
  <c r="K32" i="17" s="1"/>
  <c r="K106" i="17" s="1"/>
  <c r="P40" i="11"/>
  <c r="P333" i="2"/>
  <c r="P317" i="2" s="1"/>
  <c r="P7" i="11"/>
  <c r="M348" i="2"/>
  <c r="H28" i="17" s="1"/>
  <c r="H85" i="17" s="1"/>
  <c r="M46" i="11"/>
  <c r="N284" i="2"/>
  <c r="O369" i="2"/>
  <c r="J33" i="17" s="1"/>
  <c r="J107" i="17" s="1"/>
  <c r="O42" i="11"/>
  <c r="Q294" i="2"/>
  <c r="O302" i="2"/>
  <c r="P279" i="2"/>
  <c r="P31" i="11" s="1"/>
  <c r="P300" i="2"/>
  <c r="P297" i="2"/>
  <c r="Q267" i="2"/>
  <c r="Q23" i="11" s="1"/>
  <c r="Q258" i="2"/>
  <c r="Q17" i="11" s="1"/>
  <c r="Q276" i="2"/>
  <c r="Q29" i="11" s="1"/>
  <c r="Q273" i="2"/>
  <c r="Q27" i="11" s="1"/>
  <c r="Q282" i="2"/>
  <c r="Q33" i="11" s="1"/>
  <c r="Q242" i="2"/>
  <c r="R238" i="2"/>
  <c r="R5" i="11" s="1"/>
  <c r="Q246" i="2"/>
  <c r="Q9" i="11" s="1"/>
  <c r="O255" i="2" l="1"/>
  <c r="O53" i="11"/>
  <c r="O74" i="11" s="1"/>
  <c r="O78" i="11" s="1"/>
  <c r="O370" i="2"/>
  <c r="J34" i="17" s="1"/>
  <c r="J108" i="17" s="1"/>
  <c r="P310" i="2"/>
  <c r="I105" i="17"/>
  <c r="J55" i="17"/>
  <c r="J74" i="17" s="1"/>
  <c r="J89" i="17" s="1"/>
  <c r="J51" i="17"/>
  <c r="J48" i="17" s="1"/>
  <c r="J49" i="17" s="1"/>
  <c r="J91" i="17" s="1"/>
  <c r="J52" i="17" s="1"/>
  <c r="J53" i="17" s="1"/>
  <c r="I112" i="17"/>
  <c r="J110" i="17"/>
  <c r="K65" i="17"/>
  <c r="K71" i="17" s="1"/>
  <c r="M64" i="17"/>
  <c r="P54" i="11"/>
  <c r="K38" i="17"/>
  <c r="K47" i="17" s="1"/>
  <c r="Q333" i="2"/>
  <c r="Q317" i="2" s="1"/>
  <c r="Q7" i="11"/>
  <c r="P369" i="2"/>
  <c r="K33" i="17" s="1"/>
  <c r="K107" i="17" s="1"/>
  <c r="P42" i="11"/>
  <c r="M323" i="2"/>
  <c r="M58" i="11"/>
  <c r="Q368" i="2"/>
  <c r="L32" i="17" s="1"/>
  <c r="L106" i="17" s="1"/>
  <c r="Q40" i="11"/>
  <c r="M337" i="2"/>
  <c r="M341" i="2" s="1"/>
  <c r="M342" i="2" s="1"/>
  <c r="M343" i="2" s="1"/>
  <c r="M362" i="2" s="1"/>
  <c r="M346" i="2"/>
  <c r="H27" i="17" s="1"/>
  <c r="H42" i="17" s="1"/>
  <c r="H69" i="17" s="1"/>
  <c r="P377" i="2"/>
  <c r="K36" i="17" s="1"/>
  <c r="K115" i="17" s="1"/>
  <c r="P44" i="11"/>
  <c r="O303" i="2"/>
  <c r="O45" i="11"/>
  <c r="N34" i="11"/>
  <c r="N287" i="2"/>
  <c r="N36" i="11" s="1"/>
  <c r="N290" i="2"/>
  <c r="N38" i="11" s="1"/>
  <c r="N334" i="2"/>
  <c r="N335" i="2" s="1"/>
  <c r="N348" i="2"/>
  <c r="I28" i="17" s="1"/>
  <c r="I85" i="17" s="1"/>
  <c r="N46" i="11"/>
  <c r="R294" i="2"/>
  <c r="P302" i="2"/>
  <c r="Q279" i="2"/>
  <c r="Q297" i="2"/>
  <c r="Q300" i="2"/>
  <c r="R267" i="2"/>
  <c r="R23" i="11" s="1"/>
  <c r="R276" i="2"/>
  <c r="R29" i="11" s="1"/>
  <c r="R258" i="2"/>
  <c r="R17" i="11" s="1"/>
  <c r="R273" i="2"/>
  <c r="R27" i="11" s="1"/>
  <c r="R282" i="2"/>
  <c r="R33" i="11" s="1"/>
  <c r="S238" i="2"/>
  <c r="S5" i="11" s="1"/>
  <c r="R242" i="2"/>
  <c r="R246" i="2"/>
  <c r="R9" i="11" s="1"/>
  <c r="P308" i="2" l="1"/>
  <c r="P50" i="11"/>
  <c r="O15" i="11"/>
  <c r="O284" i="2"/>
  <c r="J105" i="17"/>
  <c r="J112" i="17" s="1"/>
  <c r="K51" i="17"/>
  <c r="K55" i="17"/>
  <c r="K74" i="17" s="1"/>
  <c r="K89" i="17" s="1"/>
  <c r="K48" i="17"/>
  <c r="K49" i="17" s="1"/>
  <c r="K91" i="17" s="1"/>
  <c r="K52" i="17" s="1"/>
  <c r="K53" i="17" s="1"/>
  <c r="K66" i="17"/>
  <c r="N64" i="17"/>
  <c r="H82" i="17"/>
  <c r="H125" i="17" s="1"/>
  <c r="H128" i="17" s="1"/>
  <c r="H72" i="17"/>
  <c r="Q54" i="11"/>
  <c r="L38" i="17"/>
  <c r="L47" i="17" s="1"/>
  <c r="R333" i="2"/>
  <c r="R317" i="2" s="1"/>
  <c r="R7" i="11"/>
  <c r="Q377" i="2"/>
  <c r="L36" i="17" s="1"/>
  <c r="L115" i="17" s="1"/>
  <c r="Q44" i="11"/>
  <c r="M347" i="2"/>
  <c r="M350" i="2" s="1"/>
  <c r="M354" i="2" s="1"/>
  <c r="M356" i="2" s="1"/>
  <c r="M357" i="2" s="1"/>
  <c r="M363" i="2" s="1"/>
  <c r="M364" i="2" s="1"/>
  <c r="M380" i="2" s="1"/>
  <c r="O348" i="2"/>
  <c r="J28" i="17" s="1"/>
  <c r="J85" i="17" s="1"/>
  <c r="O46" i="11"/>
  <c r="Q369" i="2"/>
  <c r="L33" i="17" s="1"/>
  <c r="L107" i="17" s="1"/>
  <c r="Q42" i="11"/>
  <c r="P303" i="2"/>
  <c r="P45" i="11"/>
  <c r="Q31" i="11"/>
  <c r="R368" i="2"/>
  <c r="M32" i="17" s="1"/>
  <c r="M106" i="17" s="1"/>
  <c r="R40" i="11"/>
  <c r="N337" i="2"/>
  <c r="N341" i="2" s="1"/>
  <c r="N342" i="2" s="1"/>
  <c r="N347" i="2" s="1"/>
  <c r="N346" i="2"/>
  <c r="I27" i="17" s="1"/>
  <c r="I42" i="17" s="1"/>
  <c r="I69" i="17" s="1"/>
  <c r="M59" i="11"/>
  <c r="N321" i="2"/>
  <c r="M367" i="2"/>
  <c r="M372" i="2" s="1"/>
  <c r="S294" i="2"/>
  <c r="Q302" i="2"/>
  <c r="R279" i="2"/>
  <c r="R300" i="2"/>
  <c r="R297" i="2"/>
  <c r="S258" i="2"/>
  <c r="S17" i="11" s="1"/>
  <c r="S282" i="2"/>
  <c r="S33" i="11" s="1"/>
  <c r="S276" i="2"/>
  <c r="S29" i="11" s="1"/>
  <c r="S267" i="2"/>
  <c r="S23" i="11" s="1"/>
  <c r="S273" i="2"/>
  <c r="S27" i="11" s="1"/>
  <c r="S246" i="2"/>
  <c r="S9" i="11" s="1"/>
  <c r="T238" i="2"/>
  <c r="T5" i="11" s="1"/>
  <c r="S242" i="2"/>
  <c r="O34" i="11" l="1"/>
  <c r="O334" i="2"/>
  <c r="O335" i="2" s="1"/>
  <c r="O287" i="2"/>
  <c r="O36" i="11" s="1"/>
  <c r="O290" i="2"/>
  <c r="O38" i="11" s="1"/>
  <c r="P49" i="11"/>
  <c r="P312" i="2"/>
  <c r="P336" i="2"/>
  <c r="K30" i="17" s="1"/>
  <c r="K70" i="17" s="1"/>
  <c r="H75" i="17"/>
  <c r="H76" i="17" s="1"/>
  <c r="H83" i="17" s="1"/>
  <c r="H126" i="17"/>
  <c r="L51" i="17"/>
  <c r="K105" i="17"/>
  <c r="L55" i="17"/>
  <c r="L74" i="17" s="1"/>
  <c r="L89" i="17" s="1"/>
  <c r="I72" i="17"/>
  <c r="I82" i="17"/>
  <c r="O64" i="17"/>
  <c r="K110" i="17"/>
  <c r="L65" i="17"/>
  <c r="H86" i="17"/>
  <c r="H101" i="17" s="1"/>
  <c r="R54" i="11"/>
  <c r="M38" i="17"/>
  <c r="M47" i="17" s="1"/>
  <c r="N350" i="2"/>
  <c r="N354" i="2" s="1"/>
  <c r="S333" i="2"/>
  <c r="S317" i="2" s="1"/>
  <c r="S7" i="11"/>
  <c r="Q303" i="2"/>
  <c r="Q45" i="11"/>
  <c r="N361" i="2"/>
  <c r="R369" i="2"/>
  <c r="M33" i="17" s="1"/>
  <c r="M107" i="17" s="1"/>
  <c r="R42" i="11"/>
  <c r="N343" i="2"/>
  <c r="N362" i="2" s="1"/>
  <c r="R377" i="2"/>
  <c r="M36" i="17" s="1"/>
  <c r="M115" i="17" s="1"/>
  <c r="R44" i="11"/>
  <c r="M374" i="2"/>
  <c r="M373" i="2"/>
  <c r="P348" i="2"/>
  <c r="K28" i="17" s="1"/>
  <c r="K85" i="17" s="1"/>
  <c r="P46" i="11"/>
  <c r="R31" i="11"/>
  <c r="S368" i="2"/>
  <c r="N32" i="17" s="1"/>
  <c r="N106" i="17" s="1"/>
  <c r="S40" i="11"/>
  <c r="N319" i="2"/>
  <c r="N57" i="11"/>
  <c r="M381" i="2"/>
  <c r="M383" i="2" s="1"/>
  <c r="M384" i="2" s="1"/>
  <c r="M388" i="2"/>
  <c r="M387" i="2"/>
  <c r="R302" i="2"/>
  <c r="T294" i="2"/>
  <c r="S279" i="2"/>
  <c r="S297" i="2"/>
  <c r="S300" i="2"/>
  <c r="T276" i="2"/>
  <c r="T29" i="11" s="1"/>
  <c r="T267" i="2"/>
  <c r="T23" i="11" s="1"/>
  <c r="T258" i="2"/>
  <c r="T17" i="11" s="1"/>
  <c r="T282" i="2"/>
  <c r="T33" i="11" s="1"/>
  <c r="T273" i="2"/>
  <c r="T27" i="11" s="1"/>
  <c r="T246" i="2"/>
  <c r="T9" i="11" s="1"/>
  <c r="T242" i="2"/>
  <c r="P313" i="2" l="1"/>
  <c r="P52" i="11"/>
  <c r="O337" i="2"/>
  <c r="O341" i="2" s="1"/>
  <c r="O342" i="2" s="1"/>
  <c r="O346" i="2"/>
  <c r="J27" i="17" s="1"/>
  <c r="J42" i="17" s="1"/>
  <c r="J69" i="17" s="1"/>
  <c r="L48" i="17"/>
  <c r="L49" i="17" s="1"/>
  <c r="L91" i="17" s="1"/>
  <c r="L52" i="17" s="1"/>
  <c r="L53" i="17" s="1"/>
  <c r="H87" i="17"/>
  <c r="H90" i="17" s="1"/>
  <c r="H92" i="17" s="1"/>
  <c r="L66" i="17"/>
  <c r="L71" i="17"/>
  <c r="I86" i="17"/>
  <c r="I101" i="17" s="1"/>
  <c r="H77" i="17"/>
  <c r="H99" i="17" s="1"/>
  <c r="S54" i="11"/>
  <c r="N38" i="17"/>
  <c r="N47" i="17" s="1"/>
  <c r="T368" i="2"/>
  <c r="O32" i="17" s="1"/>
  <c r="O106" i="17" s="1"/>
  <c r="T40" i="11"/>
  <c r="Q348" i="2"/>
  <c r="L28" i="17" s="1"/>
  <c r="L85" i="17" s="1"/>
  <c r="Q46" i="11"/>
  <c r="S31" i="11"/>
  <c r="S369" i="2"/>
  <c r="N33" i="17" s="1"/>
  <c r="N107" i="17" s="1"/>
  <c r="S42" i="11"/>
  <c r="T333" i="2"/>
  <c r="T317" i="2" s="1"/>
  <c r="T7" i="11"/>
  <c r="S377" i="2"/>
  <c r="N36" i="17" s="1"/>
  <c r="N115" i="17" s="1"/>
  <c r="S44" i="11"/>
  <c r="R303" i="2"/>
  <c r="R45" i="11"/>
  <c r="N355" i="2"/>
  <c r="N56" i="11"/>
  <c r="S302" i="2"/>
  <c r="T279" i="2"/>
  <c r="T300" i="2"/>
  <c r="T297" i="2"/>
  <c r="O343" i="2" l="1"/>
  <c r="O362" i="2" s="1"/>
  <c r="O347" i="2"/>
  <c r="O350" i="2" s="1"/>
  <c r="O354" i="2" s="1"/>
  <c r="J82" i="17"/>
  <c r="J86" i="17" s="1"/>
  <c r="J101" i="17" s="1"/>
  <c r="J72" i="17"/>
  <c r="P255" i="2"/>
  <c r="P370" i="2"/>
  <c r="K34" i="17" s="1"/>
  <c r="K108" i="17" s="1"/>
  <c r="K112" i="17" s="1"/>
  <c r="P53" i="11"/>
  <c r="P74" i="11" s="1"/>
  <c r="P78" i="11" s="1"/>
  <c r="Q310" i="2"/>
  <c r="M55" i="17"/>
  <c r="M74" i="17" s="1"/>
  <c r="M89" i="17" s="1"/>
  <c r="L105" i="17"/>
  <c r="M51" i="17"/>
  <c r="L110" i="17"/>
  <c r="M65" i="17"/>
  <c r="T54" i="11"/>
  <c r="O38" i="17"/>
  <c r="O47" i="17" s="1"/>
  <c r="T369" i="2"/>
  <c r="O33" i="17" s="1"/>
  <c r="O107" i="17" s="1"/>
  <c r="T42" i="11"/>
  <c r="R348" i="2"/>
  <c r="M28" i="17" s="1"/>
  <c r="M85" i="17" s="1"/>
  <c r="R46" i="11"/>
  <c r="T377" i="2"/>
  <c r="O36" i="17" s="1"/>
  <c r="O115" i="17" s="1"/>
  <c r="T44" i="11"/>
  <c r="N322" i="2"/>
  <c r="N356" i="2"/>
  <c r="N357" i="2" s="1"/>
  <c r="N363" i="2" s="1"/>
  <c r="N364" i="2" s="1"/>
  <c r="T31" i="11"/>
  <c r="S303" i="2"/>
  <c r="S45" i="11"/>
  <c r="T302" i="2"/>
  <c r="Q308" i="2" l="1"/>
  <c r="Q50" i="11"/>
  <c r="P15" i="11"/>
  <c r="P284" i="2"/>
  <c r="M48" i="17"/>
  <c r="M49" i="17" s="1"/>
  <c r="M91" i="17" s="1"/>
  <c r="M52" i="17" s="1"/>
  <c r="M53" i="17" s="1"/>
  <c r="M66" i="17"/>
  <c r="M71" i="17"/>
  <c r="N323" i="2"/>
  <c r="N58" i="11"/>
  <c r="T303" i="2"/>
  <c r="T45" i="11"/>
  <c r="S348" i="2"/>
  <c r="N28" i="17" s="1"/>
  <c r="N85" i="17" s="1"/>
  <c r="S46" i="11"/>
  <c r="N380" i="2"/>
  <c r="O361" i="2"/>
  <c r="P334" i="2" l="1"/>
  <c r="P335" i="2" s="1"/>
  <c r="P290" i="2"/>
  <c r="P38" i="11" s="1"/>
  <c r="P34" i="11"/>
  <c r="P287" i="2"/>
  <c r="P36" i="11" s="1"/>
  <c r="Q49" i="11"/>
  <c r="Q312" i="2"/>
  <c r="Q336" i="2"/>
  <c r="L30" i="17" s="1"/>
  <c r="L70" i="17" s="1"/>
  <c r="N51" i="17"/>
  <c r="M105" i="17"/>
  <c r="N55" i="17"/>
  <c r="N74" i="17" s="1"/>
  <c r="N89" i="17" s="1"/>
  <c r="M110" i="17"/>
  <c r="N65" i="17"/>
  <c r="N71" i="17" s="1"/>
  <c r="T348" i="2"/>
  <c r="O28" i="17" s="1"/>
  <c r="O85" i="17" s="1"/>
  <c r="T46" i="11"/>
  <c r="N387" i="2"/>
  <c r="N381" i="2"/>
  <c r="N59" i="11"/>
  <c r="N367" i="2"/>
  <c r="N372" i="2" s="1"/>
  <c r="O321" i="2"/>
  <c r="Q313" i="2" l="1"/>
  <c r="Q52" i="11"/>
  <c r="P346" i="2"/>
  <c r="K27" i="17" s="1"/>
  <c r="K42" i="17" s="1"/>
  <c r="K69" i="17" s="1"/>
  <c r="P337" i="2"/>
  <c r="P341" i="2" s="1"/>
  <c r="N48" i="17"/>
  <c r="N49" i="17" s="1"/>
  <c r="N91" i="17" s="1"/>
  <c r="N52" i="17" s="1"/>
  <c r="N53" i="17" s="1"/>
  <c r="N66" i="17"/>
  <c r="N388" i="2"/>
  <c r="N374" i="2"/>
  <c r="N373" i="2"/>
  <c r="N383" i="2"/>
  <c r="N384" i="2" s="1"/>
  <c r="O319" i="2"/>
  <c r="O57" i="11"/>
  <c r="K82" i="17" l="1"/>
  <c r="K86" i="17" s="1"/>
  <c r="K101" i="17" s="1"/>
  <c r="K72" i="17"/>
  <c r="P342" i="2"/>
  <c r="P347" i="2" s="1"/>
  <c r="P350" i="2" s="1"/>
  <c r="P354" i="2" s="1"/>
  <c r="P343" i="2"/>
  <c r="P362" i="2" s="1"/>
  <c r="Q255" i="2"/>
  <c r="Q370" i="2"/>
  <c r="L34" i="17" s="1"/>
  <c r="L108" i="17" s="1"/>
  <c r="L112" i="17" s="1"/>
  <c r="Q53" i="11"/>
  <c r="Q74" i="11" s="1"/>
  <c r="Q78" i="11" s="1"/>
  <c r="R310" i="2"/>
  <c r="O51" i="17"/>
  <c r="N105" i="17"/>
  <c r="O55" i="17"/>
  <c r="O74" i="17" s="1"/>
  <c r="O89" i="17" s="1"/>
  <c r="N110" i="17"/>
  <c r="O65" i="17"/>
  <c r="O355" i="2"/>
  <c r="O56" i="11"/>
  <c r="R50" i="11" l="1"/>
  <c r="R308" i="2"/>
  <c r="Q15" i="11"/>
  <c r="Q284" i="2"/>
  <c r="O48" i="17"/>
  <c r="O49" i="17" s="1"/>
  <c r="O91" i="17" s="1"/>
  <c r="O52" i="17" s="1"/>
  <c r="O53" i="17" s="1"/>
  <c r="O105" i="17" s="1"/>
  <c r="O66" i="17"/>
  <c r="O110" i="17" s="1"/>
  <c r="O71" i="17"/>
  <c r="O322" i="2"/>
  <c r="O356" i="2"/>
  <c r="O357" i="2" s="1"/>
  <c r="O363" i="2" s="1"/>
  <c r="O364" i="2" s="1"/>
  <c r="R312" i="2" l="1"/>
  <c r="R49" i="11"/>
  <c r="R336" i="2"/>
  <c r="M30" i="17" s="1"/>
  <c r="M70" i="17" s="1"/>
  <c r="Q290" i="2"/>
  <c r="Q38" i="11" s="1"/>
  <c r="Q287" i="2"/>
  <c r="Q36" i="11" s="1"/>
  <c r="Q34" i="11"/>
  <c r="Q334" i="2"/>
  <c r="Q335" i="2" s="1"/>
  <c r="P361" i="2"/>
  <c r="O380" i="2"/>
  <c r="O323" i="2"/>
  <c r="O58" i="11"/>
  <c r="Q337" i="2" l="1"/>
  <c r="Q341" i="2" s="1"/>
  <c r="Q346" i="2"/>
  <c r="L27" i="17" s="1"/>
  <c r="L42" i="17" s="1"/>
  <c r="L69" i="17" s="1"/>
  <c r="R313" i="2"/>
  <c r="R52" i="11"/>
  <c r="O59" i="11"/>
  <c r="P321" i="2"/>
  <c r="O367" i="2"/>
  <c r="O372" i="2" s="1"/>
  <c r="O387" i="2"/>
  <c r="O381" i="2"/>
  <c r="R255" i="2" l="1"/>
  <c r="S310" i="2"/>
  <c r="R53" i="11"/>
  <c r="R74" i="11" s="1"/>
  <c r="R78" i="11" s="1"/>
  <c r="R370" i="2"/>
  <c r="M34" i="17" s="1"/>
  <c r="M108" i="17" s="1"/>
  <c r="M112" i="17" s="1"/>
  <c r="L72" i="17"/>
  <c r="L82" i="17"/>
  <c r="L86" i="17" s="1"/>
  <c r="L101" i="17" s="1"/>
  <c r="Q342" i="2"/>
  <c r="Q347" i="2" s="1"/>
  <c r="Q350" i="2" s="1"/>
  <c r="Q354" i="2" s="1"/>
  <c r="Q343" i="2"/>
  <c r="Q362" i="2" s="1"/>
  <c r="O383" i="2"/>
  <c r="O384" i="2" s="1"/>
  <c r="O388" i="2"/>
  <c r="O374" i="2"/>
  <c r="O373" i="2"/>
  <c r="P319" i="2"/>
  <c r="P57" i="11"/>
  <c r="S308" i="2" l="1"/>
  <c r="S50" i="11"/>
  <c r="R15" i="11"/>
  <c r="R284" i="2"/>
  <c r="P355" i="2"/>
  <c r="P56" i="11"/>
  <c r="R34" i="11" l="1"/>
  <c r="R287" i="2"/>
  <c r="R36" i="11" s="1"/>
  <c r="R334" i="2"/>
  <c r="R335" i="2" s="1"/>
  <c r="R290" i="2"/>
  <c r="R38" i="11" s="1"/>
  <c r="S312" i="2"/>
  <c r="S49" i="11"/>
  <c r="S336" i="2"/>
  <c r="N30" i="17" s="1"/>
  <c r="N70" i="17" s="1"/>
  <c r="P322" i="2"/>
  <c r="P356" i="2"/>
  <c r="P357" i="2" s="1"/>
  <c r="P363" i="2" s="1"/>
  <c r="P364" i="2" s="1"/>
  <c r="R346" i="2" l="1"/>
  <c r="M27" i="17" s="1"/>
  <c r="M42" i="17" s="1"/>
  <c r="M69" i="17" s="1"/>
  <c r="R337" i="2"/>
  <c r="R341" i="2" s="1"/>
  <c r="S313" i="2"/>
  <c r="S52" i="11"/>
  <c r="Q361" i="2"/>
  <c r="P380" i="2"/>
  <c r="P323" i="2"/>
  <c r="P58" i="11"/>
  <c r="S255" i="2" l="1"/>
  <c r="T310" i="2"/>
  <c r="S53" i="11"/>
  <c r="S74" i="11" s="1"/>
  <c r="S78" i="11" s="1"/>
  <c r="S370" i="2"/>
  <c r="N34" i="17" s="1"/>
  <c r="N108" i="17" s="1"/>
  <c r="N112" i="17" s="1"/>
  <c r="R342" i="2"/>
  <c r="R347" i="2" s="1"/>
  <c r="R350" i="2" s="1"/>
  <c r="R354" i="2" s="1"/>
  <c r="M72" i="17"/>
  <c r="M82" i="17"/>
  <c r="M86" i="17" s="1"/>
  <c r="M101" i="17" s="1"/>
  <c r="P381" i="2"/>
  <c r="P387" i="2"/>
  <c r="P59" i="11"/>
  <c r="Q321" i="2"/>
  <c r="P367" i="2"/>
  <c r="P372" i="2" s="1"/>
  <c r="R343" i="2" l="1"/>
  <c r="R362" i="2" s="1"/>
  <c r="T50" i="11"/>
  <c r="T308" i="2"/>
  <c r="S15" i="11"/>
  <c r="S284" i="2"/>
  <c r="P383" i="2"/>
  <c r="P384" i="2" s="1"/>
  <c r="P373" i="2"/>
  <c r="P374" i="2"/>
  <c r="Q319" i="2"/>
  <c r="Q57" i="11"/>
  <c r="P388" i="2"/>
  <c r="T312" i="2" l="1"/>
  <c r="T49" i="11"/>
  <c r="T336" i="2"/>
  <c r="O30" i="17" s="1"/>
  <c r="O70" i="17" s="1"/>
  <c r="S287" i="2"/>
  <c r="S36" i="11" s="1"/>
  <c r="S334" i="2"/>
  <c r="S335" i="2" s="1"/>
  <c r="S290" i="2"/>
  <c r="S38" i="11" s="1"/>
  <c r="S34" i="11"/>
  <c r="Q355" i="2"/>
  <c r="Q56" i="11"/>
  <c r="S346" i="2" l="1"/>
  <c r="N27" i="17" s="1"/>
  <c r="N42" i="17" s="1"/>
  <c r="N69" i="17" s="1"/>
  <c r="S337" i="2"/>
  <c r="S341" i="2" s="1"/>
  <c r="T313" i="2"/>
  <c r="T52" i="11"/>
  <c r="Q322" i="2"/>
  <c r="Q356" i="2"/>
  <c r="Q357" i="2" s="1"/>
  <c r="Q363" i="2" s="1"/>
  <c r="Q364" i="2" s="1"/>
  <c r="T255" i="2" l="1"/>
  <c r="T370" i="2"/>
  <c r="O34" i="17" s="1"/>
  <c r="O108" i="17" s="1"/>
  <c r="O112" i="17" s="1"/>
  <c r="T53" i="11"/>
  <c r="T74" i="11" s="1"/>
  <c r="T78" i="11" s="1"/>
  <c r="S342" i="2"/>
  <c r="S347" i="2" s="1"/>
  <c r="S350" i="2" s="1"/>
  <c r="S354" i="2" s="1"/>
  <c r="N82" i="17"/>
  <c r="N86" i="17" s="1"/>
  <c r="N101" i="17" s="1"/>
  <c r="N72" i="17"/>
  <c r="Q323" i="2"/>
  <c r="Q58" i="11"/>
  <c r="R361" i="2"/>
  <c r="Q380" i="2"/>
  <c r="S343" i="2" l="1"/>
  <c r="S362" i="2" s="1"/>
  <c r="T15" i="11"/>
  <c r="T284" i="2"/>
  <c r="Q381" i="2"/>
  <c r="Q387" i="2"/>
  <c r="Q59" i="11"/>
  <c r="Q367" i="2"/>
  <c r="Q372" i="2" s="1"/>
  <c r="R321" i="2"/>
  <c r="T34" i="11" l="1"/>
  <c r="T287" i="2"/>
  <c r="T36" i="11" s="1"/>
  <c r="T334" i="2"/>
  <c r="T335" i="2" s="1"/>
  <c r="T290" i="2"/>
  <c r="T38" i="11" s="1"/>
  <c r="Q374" i="2"/>
  <c r="Q373" i="2"/>
  <c r="Q388" i="2"/>
  <c r="R319" i="2"/>
  <c r="R57" i="11"/>
  <c r="Q383" i="2"/>
  <c r="Q384" i="2" s="1"/>
  <c r="T337" i="2" l="1"/>
  <c r="T341" i="2" s="1"/>
  <c r="T346" i="2"/>
  <c r="O27" i="17" s="1"/>
  <c r="O42" i="17" s="1"/>
  <c r="O69" i="17" s="1"/>
  <c r="R355" i="2"/>
  <c r="R56" i="11"/>
  <c r="O72" i="17" l="1"/>
  <c r="O82" i="17"/>
  <c r="O86" i="17" s="1"/>
  <c r="O101" i="17" s="1"/>
  <c r="T342" i="2"/>
  <c r="T347" i="2" s="1"/>
  <c r="T350" i="2" s="1"/>
  <c r="T354" i="2" s="1"/>
  <c r="T343" i="2"/>
  <c r="T362" i="2" s="1"/>
  <c r="R322" i="2"/>
  <c r="R356" i="2"/>
  <c r="R357" i="2" s="1"/>
  <c r="R363" i="2" s="1"/>
  <c r="R364" i="2" s="1"/>
  <c r="R380" i="2" l="1"/>
  <c r="S361" i="2"/>
  <c r="R323" i="2"/>
  <c r="R58" i="11"/>
  <c r="R59" i="11" l="1"/>
  <c r="S321" i="2"/>
  <c r="R367" i="2"/>
  <c r="R372" i="2" s="1"/>
  <c r="R381" i="2"/>
  <c r="R387" i="2"/>
  <c r="R383" i="2" l="1"/>
  <c r="R384" i="2" s="1"/>
  <c r="R388" i="2"/>
  <c r="R373" i="2"/>
  <c r="R374" i="2"/>
  <c r="S319" i="2"/>
  <c r="S57" i="11"/>
  <c r="S355" i="2" l="1"/>
  <c r="S56" i="11"/>
  <c r="S322" i="2" l="1"/>
  <c r="S356" i="2"/>
  <c r="S357" i="2" s="1"/>
  <c r="S363" i="2" s="1"/>
  <c r="S364" i="2" s="1"/>
  <c r="S380" i="2" l="1"/>
  <c r="T361" i="2"/>
  <c r="S323" i="2"/>
  <c r="S58" i="11"/>
  <c r="S59" i="11" l="1"/>
  <c r="S367" i="2"/>
  <c r="S372" i="2" s="1"/>
  <c r="T321" i="2"/>
  <c r="S387" i="2"/>
  <c r="S381" i="2"/>
  <c r="S388" i="2" l="1"/>
  <c r="S383" i="2"/>
  <c r="S384" i="2" s="1"/>
  <c r="T319" i="2"/>
  <c r="T57" i="11"/>
  <c r="S374" i="2"/>
  <c r="S373" i="2"/>
  <c r="T355" i="2" l="1"/>
  <c r="T56" i="11"/>
  <c r="T322" i="2" l="1"/>
  <c r="T356" i="2"/>
  <c r="T357" i="2" s="1"/>
  <c r="T363" i="2" s="1"/>
  <c r="T364" i="2" s="1"/>
  <c r="T380" i="2" s="1"/>
  <c r="T381" i="2" l="1"/>
  <c r="T387" i="2"/>
  <c r="T323" i="2"/>
  <c r="T58" i="11"/>
  <c r="T367" i="2" l="1"/>
  <c r="T59" i="11"/>
  <c r="T372" i="2" l="1"/>
  <c r="T388" i="2"/>
  <c r="T374" i="2" l="1"/>
  <c r="T373" i="2"/>
  <c r="T383" i="2"/>
  <c r="T384" i="2" s="1"/>
  <c r="G384" i="2" s="1"/>
  <c r="H80" i="17"/>
  <c r="H93" i="17" s="1"/>
  <c r="H94" i="17" s="1"/>
  <c r="H100" i="17" l="1"/>
  <c r="H102" i="17" s="1"/>
  <c r="I98" i="17" s="1"/>
  <c r="H130" i="17"/>
  <c r="H59" i="17"/>
  <c r="H60" i="17" s="1"/>
  <c r="H118" i="17" l="1"/>
  <c r="H116" i="17"/>
  <c r="I125" i="17" s="1"/>
  <c r="I128" i="17" s="1"/>
  <c r="I58" i="17"/>
  <c r="I61" i="17" l="1"/>
  <c r="I73" i="17" s="1"/>
  <c r="H124" i="17"/>
  <c r="H119" i="17"/>
  <c r="H121" i="17" s="1"/>
  <c r="I126" i="17" l="1"/>
  <c r="I75" i="17"/>
  <c r="I88" i="17"/>
  <c r="I76" i="17" l="1"/>
  <c r="I83" i="17" s="1"/>
  <c r="I87" i="17" s="1"/>
  <c r="I90" i="17" s="1"/>
  <c r="I92" i="17" s="1"/>
  <c r="I77" i="17" l="1"/>
  <c r="I99" i="17" s="1"/>
  <c r="I80" i="17"/>
  <c r="I93" i="17" s="1"/>
  <c r="I94" i="17" l="1"/>
  <c r="I59" i="17"/>
  <c r="I60" i="17" s="1"/>
  <c r="I100" i="17" l="1"/>
  <c r="I102" i="17" s="1"/>
  <c r="I118" i="17" s="1"/>
  <c r="I130" i="17"/>
  <c r="I116" i="17"/>
  <c r="J58" i="17"/>
  <c r="J98" i="17" l="1"/>
  <c r="J61" i="17"/>
  <c r="J73" i="17" s="1"/>
  <c r="J125" i="17"/>
  <c r="I124" i="17"/>
  <c r="I119" i="17"/>
  <c r="I121" i="17" s="1"/>
  <c r="J128" i="17" l="1"/>
  <c r="J80" i="17" s="1"/>
  <c r="J88" i="17"/>
  <c r="J75" i="17"/>
  <c r="J126" i="17"/>
  <c r="J76" i="17" l="1"/>
  <c r="J83" i="17" s="1"/>
  <c r="J87" i="17" s="1"/>
  <c r="J90" i="17" s="1"/>
  <c r="J92" i="17" s="1"/>
  <c r="J93" i="17" l="1"/>
  <c r="J59" i="17" s="1"/>
  <c r="J60" i="17" s="1"/>
  <c r="J77" i="17"/>
  <c r="J99" i="17" s="1"/>
  <c r="K58" i="17" l="1"/>
  <c r="J116" i="17"/>
  <c r="J94" i="17"/>
  <c r="J100" i="17" l="1"/>
  <c r="J102" i="17" s="1"/>
  <c r="J118" i="17" s="1"/>
  <c r="J124" i="17" s="1"/>
  <c r="J130" i="17"/>
  <c r="K125" i="17"/>
  <c r="K61" i="17"/>
  <c r="K73" i="17" s="1"/>
  <c r="K98" i="17" l="1"/>
  <c r="J119" i="17"/>
  <c r="J121" i="17" s="1"/>
  <c r="K128" i="17"/>
  <c r="K80" i="17" s="1"/>
  <c r="K75" i="17"/>
  <c r="K126" i="17"/>
  <c r="K88" i="17"/>
  <c r="K76" i="17" l="1"/>
  <c r="K83" i="17" s="1"/>
  <c r="K87" i="17" s="1"/>
  <c r="K90" i="17" s="1"/>
  <c r="K92" i="17" s="1"/>
  <c r="K93" i="17" l="1"/>
  <c r="K59" i="17" s="1"/>
  <c r="K60" i="17" s="1"/>
  <c r="K77" i="17"/>
  <c r="K99" i="17" s="1"/>
  <c r="K94" i="17" l="1"/>
  <c r="K116" i="17"/>
  <c r="L58" i="17"/>
  <c r="K100" i="17" l="1"/>
  <c r="K102" i="17" s="1"/>
  <c r="K118" i="17" s="1"/>
  <c r="K130" i="17"/>
  <c r="L61" i="17"/>
  <c r="L73" i="17" s="1"/>
  <c r="L125" i="17"/>
  <c r="K119" i="17" l="1"/>
  <c r="K121" i="17" s="1"/>
  <c r="K124" i="17"/>
  <c r="L98" i="17"/>
  <c r="L128" i="17"/>
  <c r="L80" i="17" s="1"/>
  <c r="L88" i="17"/>
  <c r="L126" i="17"/>
  <c r="L75" i="17"/>
  <c r="L76" i="17" l="1"/>
  <c r="L83" i="17" s="1"/>
  <c r="L87" i="17" s="1"/>
  <c r="L90" i="17" s="1"/>
  <c r="L92" i="17" s="1"/>
  <c r="L93" i="17" l="1"/>
  <c r="L59" i="17" s="1"/>
  <c r="L60" i="17" s="1"/>
  <c r="L77" i="17"/>
  <c r="L99" i="17" s="1"/>
  <c r="L94" i="17" l="1"/>
  <c r="M58" i="17"/>
  <c r="L116" i="17"/>
  <c r="L100" i="17" l="1"/>
  <c r="L102" i="17" s="1"/>
  <c r="L118" i="17" s="1"/>
  <c r="L130" i="17"/>
  <c r="M125" i="17"/>
  <c r="M61" i="17"/>
  <c r="M73" i="17" s="1"/>
  <c r="M98" i="17" l="1"/>
  <c r="L119" i="17"/>
  <c r="L121" i="17" s="1"/>
  <c r="L124" i="17"/>
  <c r="M128" i="17"/>
  <c r="M80" i="17" s="1"/>
  <c r="M88" i="17"/>
  <c r="M75" i="17"/>
  <c r="M126" i="17"/>
  <c r="M76" i="17" l="1"/>
  <c r="M83" i="17" s="1"/>
  <c r="M87" i="17" s="1"/>
  <c r="M90" i="17" s="1"/>
  <c r="M92" i="17" s="1"/>
  <c r="M93" i="17" l="1"/>
  <c r="M59" i="17" s="1"/>
  <c r="M60" i="17" s="1"/>
  <c r="M77" i="17"/>
  <c r="M99" i="17" s="1"/>
  <c r="M94" i="17" l="1"/>
  <c r="N58" i="17"/>
  <c r="M116" i="17"/>
  <c r="M100" i="17" l="1"/>
  <c r="M102" i="17" s="1"/>
  <c r="M118" i="17" s="1"/>
  <c r="M130" i="17"/>
  <c r="N125" i="17"/>
  <c r="N61" i="17"/>
  <c r="N73" i="17" s="1"/>
  <c r="M124" i="17" l="1"/>
  <c r="M119" i="17"/>
  <c r="M121" i="17" s="1"/>
  <c r="N98" i="17"/>
  <c r="N128" i="17"/>
  <c r="N80" i="17" s="1"/>
  <c r="N75" i="17"/>
  <c r="N126" i="17"/>
  <c r="N88" i="17"/>
  <c r="N76" i="17" l="1"/>
  <c r="N83" i="17" s="1"/>
  <c r="N87" i="17" s="1"/>
  <c r="N90" i="17" s="1"/>
  <c r="N92" i="17" s="1"/>
  <c r="N77" i="17" l="1"/>
  <c r="N99" i="17" s="1"/>
  <c r="N93" i="17"/>
  <c r="N59" i="17" s="1"/>
  <c r="N60" i="17" s="1"/>
  <c r="N94" i="17" l="1"/>
  <c r="O58" i="17"/>
  <c r="N116" i="17"/>
  <c r="N100" i="17" l="1"/>
  <c r="N102" i="17" s="1"/>
  <c r="O98" i="17" s="1"/>
  <c r="N130" i="17"/>
  <c r="O125" i="17"/>
  <c r="O61" i="17"/>
  <c r="O73" i="17" s="1"/>
  <c r="N118" i="17" l="1"/>
  <c r="N124" i="17" s="1"/>
  <c r="O128" i="17"/>
  <c r="O80" i="17" s="1"/>
  <c r="O88" i="17"/>
  <c r="O75" i="17"/>
  <c r="O126" i="17"/>
  <c r="N119" i="17" l="1"/>
  <c r="N121" i="17" s="1"/>
  <c r="O76" i="17"/>
  <c r="O83" i="17" s="1"/>
  <c r="O87" i="17" s="1"/>
  <c r="O90" i="17" s="1"/>
  <c r="O92" i="17" s="1"/>
  <c r="O77" i="17" l="1"/>
  <c r="O99" i="17" s="1"/>
  <c r="O93" i="17"/>
  <c r="O59" i="17" s="1"/>
  <c r="O60" i="17" s="1"/>
  <c r="O116" i="17" s="1"/>
  <c r="O94" i="17" l="1"/>
  <c r="O100" i="17" l="1"/>
  <c r="O102" i="17" s="1"/>
  <c r="O118" i="17" s="1"/>
  <c r="O124" i="17" s="1"/>
  <c r="O130" i="17"/>
  <c r="G131" i="17" s="1"/>
  <c r="O119" i="17" l="1"/>
  <c r="O121" i="17" s="1"/>
</calcChain>
</file>

<file path=xl/sharedStrings.xml><?xml version="1.0" encoding="utf-8"?>
<sst xmlns="http://schemas.openxmlformats.org/spreadsheetml/2006/main" count="519" uniqueCount="366">
  <si>
    <t>Income statement</t>
  </si>
  <si>
    <t>MetroExpress LLC</t>
  </si>
  <si>
    <t>1. Sales</t>
  </si>
  <si>
    <t xml:space="preserve">       1.1 Total Sales</t>
  </si>
  <si>
    <t xml:space="preserve">       1.2 Sale losses and returns</t>
  </si>
  <si>
    <t xml:space="preserve">       1.3 Sale discount</t>
  </si>
  <si>
    <t xml:space="preserve">       1.4 Net sales</t>
  </si>
  <si>
    <t>2. COGS</t>
  </si>
  <si>
    <t>3. Total income</t>
  </si>
  <si>
    <t>4. Operating expense</t>
  </si>
  <si>
    <t xml:space="preserve">       4.1 Salaries and renumerations</t>
  </si>
  <si>
    <t xml:space="preserve">       4.2 Social insurance expense</t>
  </si>
  <si>
    <t xml:space="preserve">       4.3 Maintenance cost</t>
  </si>
  <si>
    <t xml:space="preserve">       4.4 Utilities</t>
  </si>
  <si>
    <t xml:space="preserve">      4.5 Rental expense</t>
  </si>
  <si>
    <t xml:space="preserve">      4.6 Travel expense</t>
  </si>
  <si>
    <t xml:space="preserve">      4.7 Transportation</t>
  </si>
  <si>
    <t>.     4.8 Outsourcing expense</t>
  </si>
  <si>
    <t xml:space="preserve">      4.9 Depreciation expense</t>
  </si>
  <si>
    <t xml:space="preserve">      4.10 Advertisement</t>
  </si>
  <si>
    <t xml:space="preserve">      4.11 Postal, training anf office expense</t>
  </si>
  <si>
    <t xml:space="preserve">      4.12 Fuel expense</t>
  </si>
  <si>
    <t xml:space="preserve">      4.13 Other expense</t>
  </si>
  <si>
    <t>5. Operating income (loss)</t>
  </si>
  <si>
    <t>6. Non-operating income</t>
  </si>
  <si>
    <t xml:space="preserve">      6.1 Interest penalty</t>
  </si>
  <si>
    <t xml:space="preserve">      6.2 Dividend income</t>
  </si>
  <si>
    <t xml:space="preserve">      6.3 Forex income</t>
  </si>
  <si>
    <t xml:space="preserve">      6.4 Others</t>
  </si>
  <si>
    <t>7. Non-operating expense</t>
  </si>
  <si>
    <t xml:space="preserve">      7.1 Interest and penalty</t>
  </si>
  <si>
    <t xml:space="preserve">      7.2 Shares and bond expense</t>
  </si>
  <si>
    <t xml:space="preserve">      7.3 Forex loss</t>
  </si>
  <si>
    <t xml:space="preserve">      7.4 Others</t>
  </si>
  <si>
    <t>8. Income (loss)</t>
  </si>
  <si>
    <t>9. Special income</t>
  </si>
  <si>
    <t>10. Special expense</t>
  </si>
  <si>
    <t>11. JV or investee income</t>
  </si>
  <si>
    <t>12. Income (loss) before tax</t>
  </si>
  <si>
    <t>13. Income tax</t>
  </si>
  <si>
    <t>14. Net income (loss)</t>
  </si>
  <si>
    <t>15. Earnings per share</t>
  </si>
  <si>
    <t>Balance items</t>
  </si>
  <si>
    <t>Assets</t>
  </si>
  <si>
    <t>Working capital</t>
  </si>
  <si>
    <t>Cash</t>
  </si>
  <si>
    <t>Current accounts</t>
  </si>
  <si>
    <t>Short-term investments</t>
  </si>
  <si>
    <t>Valuation difference</t>
  </si>
  <si>
    <t>Receivables</t>
  </si>
  <si>
    <t>Найдваргүй авлагын нөөц</t>
  </si>
  <si>
    <t>Векселийн авлага</t>
  </si>
  <si>
    <t>Холбоотой талаас авах авлага</t>
  </si>
  <si>
    <t>Компани хоорондын авлага</t>
  </si>
  <si>
    <t>Other recevables</t>
  </si>
  <si>
    <t>Inventories</t>
  </si>
  <si>
    <t>Uncompleted production</t>
  </si>
  <si>
    <t xml:space="preserve">Goods </t>
  </si>
  <si>
    <t>Semi-produced goods</t>
  </si>
  <si>
    <t>Supplies</t>
  </si>
  <si>
    <t>Package</t>
  </si>
  <si>
    <t>Animals</t>
  </si>
  <si>
    <t>Prepaid expense</t>
  </si>
  <si>
    <t>Non-working capital</t>
  </si>
  <si>
    <t>Immovables</t>
  </si>
  <si>
    <t>Land</t>
  </si>
  <si>
    <t>Buildings</t>
  </si>
  <si>
    <t>Accumulated depreciation</t>
  </si>
  <si>
    <t>Equipment and vehicles</t>
  </si>
  <si>
    <t>Furniture</t>
  </si>
  <si>
    <t>Other fixed assets</t>
  </si>
  <si>
    <t>Uncompleted construction</t>
  </si>
  <si>
    <t>Мал амьтад (ХАА-н үйлдвэрлэлийн)</t>
  </si>
  <si>
    <t>Fixed assets</t>
  </si>
  <si>
    <t>Other assets</t>
  </si>
  <si>
    <t>Goodwill</t>
  </si>
  <si>
    <t>Patents</t>
  </si>
  <si>
    <t>Copyright</t>
  </si>
  <si>
    <t>Зохион байгуулалтын зардал</t>
  </si>
  <si>
    <t>Барааны тэмдэг</t>
  </si>
  <si>
    <t>Хөрөнгө оруулалт ба бусад хөрөнгө</t>
  </si>
  <si>
    <t xml:space="preserve">   Биет бус хөрөнгийн дүн</t>
  </si>
  <si>
    <t>TOTAL ASSETS</t>
  </si>
  <si>
    <t>Б. Liablities and equity</t>
  </si>
  <si>
    <t>1. Liabilities</t>
  </si>
  <si>
    <t>Payables</t>
  </si>
  <si>
    <t>Векселийн өглөг</t>
  </si>
  <si>
    <t>Tax payables</t>
  </si>
  <si>
    <t>Salary payables</t>
  </si>
  <si>
    <t>Other tax payables</t>
  </si>
  <si>
    <t>Health insurance payables</t>
  </si>
  <si>
    <t>VAT payables</t>
  </si>
  <si>
    <t>Short-term bank loans</t>
  </si>
  <si>
    <t>Delayed tax payables</t>
  </si>
  <si>
    <t>Other payables</t>
  </si>
  <si>
    <t>Prepaid income</t>
  </si>
  <si>
    <t>Short-term payable difference</t>
  </si>
  <si>
    <t>Short-term payables</t>
  </si>
  <si>
    <t>Long-term payables</t>
  </si>
  <si>
    <t>Long-term bank debt</t>
  </si>
  <si>
    <t>Long-term bonds</t>
  </si>
  <si>
    <t>Other long-term payables</t>
  </si>
  <si>
    <t>Difference</t>
  </si>
  <si>
    <t>Liabilities</t>
  </si>
  <si>
    <t>2. Equity</t>
  </si>
  <si>
    <t>Өмч:      а) state</t>
  </si>
  <si>
    <t>б) private</t>
  </si>
  <si>
    <t>Equity</t>
  </si>
  <si>
    <t>Энгийн хувцаа  ширхэг нэрлэсэн үнэ</t>
  </si>
  <si>
    <t>Давуу эрхтэй хувьцаа ширхэг нэрлэсэн үнэ</t>
  </si>
  <si>
    <t>Халаасны хувьцаа</t>
  </si>
  <si>
    <t>Хувьцааны дүн</t>
  </si>
  <si>
    <t>Нэмж төлөгдсөн капитал</t>
  </si>
  <si>
    <t>Дахин үнэлгээний нэмэгдэл</t>
  </si>
  <si>
    <t>Эзэмшигчдийн өмчийн бусад хэсэг</t>
  </si>
  <si>
    <t>Retained earnings (loss)</t>
  </si>
  <si>
    <t>For reporting period</t>
  </si>
  <si>
    <t>Previous period</t>
  </si>
  <si>
    <t>Liability and equity</t>
  </si>
  <si>
    <t>Match</t>
  </si>
  <si>
    <t>Test</t>
  </si>
  <si>
    <t>Historic Financial Statements</t>
  </si>
  <si>
    <t>Assumptions</t>
  </si>
  <si>
    <t>Revenues</t>
  </si>
  <si>
    <t>Time Line</t>
  </si>
  <si>
    <t>Historic Switch</t>
  </si>
  <si>
    <t>Period</t>
  </si>
  <si>
    <t>Historic Revenues</t>
  </si>
  <si>
    <t>Percent Growth</t>
  </si>
  <si>
    <t>Losses and Returns</t>
  </si>
  <si>
    <t>Percent</t>
  </si>
  <si>
    <t>COGS</t>
  </si>
  <si>
    <t>Percent of Revenues</t>
  </si>
  <si>
    <t>COGS Amount</t>
  </si>
  <si>
    <t>Salaries</t>
  </si>
  <si>
    <t>Amount</t>
  </si>
  <si>
    <t>Social Remuneriation</t>
  </si>
  <si>
    <t>Percent of Salaries</t>
  </si>
  <si>
    <t>Maintenance Cost</t>
  </si>
  <si>
    <t>Percent of Fixed Assets</t>
  </si>
  <si>
    <t>Utilities</t>
  </si>
  <si>
    <t>Travel Expense</t>
  </si>
  <si>
    <t>Rent Expense</t>
  </si>
  <si>
    <t>Percent Increase</t>
  </si>
  <si>
    <t>Transportation Expense</t>
  </si>
  <si>
    <t>Postal Training</t>
  </si>
  <si>
    <t>Fuel Expense</t>
  </si>
  <si>
    <t>Other Expense</t>
  </si>
  <si>
    <t>Percent of CGS</t>
  </si>
  <si>
    <t>Outsourcing Expense</t>
  </si>
  <si>
    <t>Advertising Expense</t>
  </si>
  <si>
    <t>Percent of Revenue</t>
  </si>
  <si>
    <t>Depreciation Rate</t>
  </si>
  <si>
    <t>Percent of Net Plant</t>
  </si>
  <si>
    <t>Taxes</t>
  </si>
  <si>
    <t>Rate on Pre-tax Income</t>
  </si>
  <si>
    <t>Other Income</t>
  </si>
  <si>
    <t>Forex Income</t>
  </si>
  <si>
    <t>Forex Loss</t>
  </si>
  <si>
    <t>Special Income</t>
  </si>
  <si>
    <t>Special Expense</t>
  </si>
  <si>
    <t>JV Investee Income</t>
  </si>
  <si>
    <t>Percent of Sales</t>
  </si>
  <si>
    <t>Balance Sheet Assumptions</t>
  </si>
  <si>
    <t>Fixed Asset Increase</t>
  </si>
  <si>
    <t>Add Depreciation</t>
  </si>
  <si>
    <t>Cap Exp</t>
  </si>
  <si>
    <t>Accounts Receivable</t>
  </si>
  <si>
    <t>AR/Sales</t>
  </si>
  <si>
    <t>Supplies/COGS</t>
  </si>
  <si>
    <t>Payables to COGS</t>
  </si>
  <si>
    <t>Operating Calculation</t>
  </si>
  <si>
    <t>Operating Expenses</t>
  </si>
  <si>
    <t>Working Capital</t>
  </si>
  <si>
    <t>Plant Balance and Depreciation</t>
  </si>
  <si>
    <t>Financing</t>
  </si>
  <si>
    <t>1-Avg;2-Last;3-Input</t>
  </si>
  <si>
    <t>Input</t>
  </si>
  <si>
    <t>Applied</t>
  </si>
  <si>
    <t>Input Option</t>
  </si>
  <si>
    <t>Method</t>
  </si>
  <si>
    <t>Growth Index</t>
  </si>
  <si>
    <t>Revenues Gross</t>
  </si>
  <si>
    <t>Senstivity</t>
  </si>
  <si>
    <t>Pct of Revenues</t>
  </si>
  <si>
    <t>Lossses and Return Amount</t>
  </si>
  <si>
    <t>COGS as Pct of Revenues</t>
  </si>
  <si>
    <t>Salaries Percent Increase</t>
  </si>
  <si>
    <t>Salaries Amount</t>
  </si>
  <si>
    <t>Social Remuneriation as % of Salaries</t>
  </si>
  <si>
    <t>Social Remuneriation Expense</t>
  </si>
  <si>
    <t>Maintenance Percent of Fixed Assets</t>
  </si>
  <si>
    <t>Maintenance Amount</t>
  </si>
  <si>
    <t>Utilities Percent of Revenues</t>
  </si>
  <si>
    <t>Utilities Expense</t>
  </si>
  <si>
    <t>Travel Percent of Salaries</t>
  </si>
  <si>
    <t>Rent Expense Percent Increase</t>
  </si>
  <si>
    <t xml:space="preserve">Rent Expense  </t>
  </si>
  <si>
    <t>Transportation Percent of Sales</t>
  </si>
  <si>
    <t>Total</t>
  </si>
  <si>
    <t>Outsourcing Percent Increase</t>
  </si>
  <si>
    <t xml:space="preserve">Outsourcing  </t>
  </si>
  <si>
    <t>Advertising as Percent of Revenue</t>
  </si>
  <si>
    <t>Postal and Training Percent of Revenues</t>
  </si>
  <si>
    <t>Postal and Training Expense</t>
  </si>
  <si>
    <t>Fuel Expense as Percent of CGS</t>
  </si>
  <si>
    <t xml:space="preserve">Fuel Expense  </t>
  </si>
  <si>
    <t>Other Expense Pct of Revenues</t>
  </si>
  <si>
    <t xml:space="preserve">Other Expense  </t>
  </si>
  <si>
    <t>Captial Expenditures</t>
  </si>
  <si>
    <t>Depreciation as Percent of Net Plant</t>
  </si>
  <si>
    <t>Depreciation Expense</t>
  </si>
  <si>
    <t>Total Expenses</t>
  </si>
  <si>
    <t>Historic</t>
  </si>
  <si>
    <t>A/R as Pct of Sales</t>
  </si>
  <si>
    <t>A/R Level</t>
  </si>
  <si>
    <t>Supplies as Pct of CGS</t>
  </si>
  <si>
    <t>Total Supplies</t>
  </si>
  <si>
    <t>Payable as Pct CGS</t>
  </si>
  <si>
    <t>Total Payable</t>
  </si>
  <si>
    <t>Total Working Capital</t>
  </si>
  <si>
    <t>Change in Working Capital</t>
  </si>
  <si>
    <t>EBITDA</t>
  </si>
  <si>
    <t>Opening Balance</t>
  </si>
  <si>
    <t>Add: Cap Exp</t>
  </si>
  <si>
    <t>Less: Depreciation</t>
  </si>
  <si>
    <t>Closing Balance</t>
  </si>
  <si>
    <t>Cash Balance</t>
  </si>
  <si>
    <t>Interest Income</t>
  </si>
  <si>
    <t>Debt Balance</t>
  </si>
  <si>
    <t>Interest Expense</t>
  </si>
  <si>
    <t>Retained Earnings</t>
  </si>
  <si>
    <t>Net Income</t>
  </si>
  <si>
    <t>Dividends</t>
  </si>
  <si>
    <t>Profit and Loss</t>
  </si>
  <si>
    <t>Less: Cash Operating Expenses</t>
  </si>
  <si>
    <t xml:space="preserve">EBIT </t>
  </si>
  <si>
    <t>Less: Interest</t>
  </si>
  <si>
    <t>EBT</t>
  </si>
  <si>
    <t>Less: Taxes</t>
  </si>
  <si>
    <t>Earnings</t>
  </si>
  <si>
    <t>Tax Rate</t>
  </si>
  <si>
    <t>Cash Flow</t>
  </si>
  <si>
    <t>Less: WC Changes</t>
  </si>
  <si>
    <t>Less: Capital Expenditures</t>
  </si>
  <si>
    <t>Operating Cash Flow</t>
  </si>
  <si>
    <t>Less: Interest Expense</t>
  </si>
  <si>
    <t>Add: Interest Income</t>
  </si>
  <si>
    <t>Net Cash Flow</t>
  </si>
  <si>
    <t>Cash Available for Dividends</t>
  </si>
  <si>
    <t>Net Other Income</t>
  </si>
  <si>
    <t>Minimum Cash Balance</t>
  </si>
  <si>
    <t>Cash Flow to Reach Min Balance</t>
  </si>
  <si>
    <t>Financial Ratios</t>
  </si>
  <si>
    <t>Return on Equity</t>
  </si>
  <si>
    <t>Return on Invested Capital</t>
  </si>
  <si>
    <t>Balance Sheet</t>
  </si>
  <si>
    <t>Net Plant</t>
  </si>
  <si>
    <t>Other Assets</t>
  </si>
  <si>
    <t>Debt</t>
  </si>
  <si>
    <t>Other Liabilities</t>
  </si>
  <si>
    <t>Equity Balance</t>
  </si>
  <si>
    <t>Add: Net Income</t>
  </si>
  <si>
    <t>Less: Dividends</t>
  </si>
  <si>
    <t>Historic Asset Check</t>
  </si>
  <si>
    <t>Historic Asset Difference</t>
  </si>
  <si>
    <t>Less: Cash Flow Used for Min Cash Balance</t>
  </si>
  <si>
    <t>Add: Other Income</t>
  </si>
  <si>
    <t>Required Cash to Meet Minimum Balance</t>
  </si>
  <si>
    <t>Add: Cash Used in Cash Flow Statement</t>
  </si>
  <si>
    <t>Balance Sheet Check</t>
  </si>
  <si>
    <t xml:space="preserve">Base </t>
  </si>
  <si>
    <t>Growth</t>
  </si>
  <si>
    <t>Revenue Growth Index</t>
  </si>
  <si>
    <t>Losses as Pct of Revenues</t>
  </si>
  <si>
    <t>Index</t>
  </si>
  <si>
    <t>History</t>
  </si>
  <si>
    <t>Projection</t>
  </si>
  <si>
    <t>Transacton Assumptions</t>
  </si>
  <si>
    <t>Date</t>
  </si>
  <si>
    <t>EV to EBITDA</t>
  </si>
  <si>
    <t>Column Number</t>
  </si>
  <si>
    <t xml:space="preserve">EV  </t>
  </si>
  <si>
    <t>USD/MNT</t>
  </si>
  <si>
    <t>EV in USD</t>
  </si>
  <si>
    <t>Net Cash</t>
  </si>
  <si>
    <t>Equity Consideration</t>
  </si>
  <si>
    <t>Implied P/E Trans Mult</t>
  </si>
  <si>
    <t>Debt Percent</t>
  </si>
  <si>
    <t>Debt Amount</t>
  </si>
  <si>
    <t>Interest Rate</t>
  </si>
  <si>
    <t>Sweep Percent</t>
  </si>
  <si>
    <t>Debt/EBITDA</t>
  </si>
  <si>
    <t>Pct</t>
  </si>
  <si>
    <t>Up-front Fee</t>
  </si>
  <si>
    <t>Exit Multiple</t>
  </si>
  <si>
    <t>Holding Period</t>
  </si>
  <si>
    <t>Sources and Uses</t>
  </si>
  <si>
    <t>Uses</t>
  </si>
  <si>
    <t>Sources</t>
  </si>
  <si>
    <t>Goodwill Analysis</t>
  </si>
  <si>
    <t>Consideration</t>
  </si>
  <si>
    <t>Less: Existing Equity</t>
  </si>
  <si>
    <t>Advisory Fee</t>
  </si>
  <si>
    <t>Synergies</t>
  </si>
  <si>
    <t>Pct of EBITDA</t>
  </si>
  <si>
    <t>Base Case</t>
  </si>
  <si>
    <t>Best Case</t>
  </si>
  <si>
    <t>Low Case</t>
  </si>
  <si>
    <t>No Synergy Case</t>
  </si>
  <si>
    <t>Code</t>
  </si>
  <si>
    <t>Pro-Forma Balance Sheet</t>
  </si>
  <si>
    <t>Unamortized Debt Cost</t>
  </si>
  <si>
    <t>New Debt</t>
  </si>
  <si>
    <t>Equity Adjust</t>
  </si>
  <si>
    <t>New Equity</t>
  </si>
  <si>
    <t>Total Adjustment</t>
  </si>
  <si>
    <t xml:space="preserve">Adjusted </t>
  </si>
  <si>
    <t>Add: Advisory Fees</t>
  </si>
  <si>
    <t>Add: Debt Fees</t>
  </si>
  <si>
    <t>Debt to EBTDA</t>
  </si>
  <si>
    <t>Timeline</t>
  </si>
  <si>
    <t>Year</t>
  </si>
  <si>
    <t>Holding Period Switch</t>
  </si>
  <si>
    <t>Terminal Switch</t>
  </si>
  <si>
    <t>Column Number of Base Model</t>
  </si>
  <si>
    <t>Data Transferred</t>
  </si>
  <si>
    <t>WC Changes</t>
  </si>
  <si>
    <t>Capital Expenditures</t>
  </si>
  <si>
    <t>Depreciation</t>
  </si>
  <si>
    <t>Supply Balance</t>
  </si>
  <si>
    <t>A/R Balance</t>
  </si>
  <si>
    <t>Net Plant Balance</t>
  </si>
  <si>
    <t>Other Liability Balance</t>
  </si>
  <si>
    <t>Other Asset Balance</t>
  </si>
  <si>
    <t>Cash Analysis</t>
  </si>
  <si>
    <t>Minimum Balance</t>
  </si>
  <si>
    <t>Cash Required for Minimum Balance</t>
  </si>
  <si>
    <t>Less: Opening Balance</t>
  </si>
  <si>
    <t>Add: Cash For Minimum</t>
  </si>
  <si>
    <t>Interest Income Rate</t>
  </si>
  <si>
    <t>Less: Repyament from Cash Flow</t>
  </si>
  <si>
    <t>EBITDA After Synergies</t>
  </si>
  <si>
    <t>Adjustments</t>
  </si>
  <si>
    <t>Less: Amortisation of Debt Fees</t>
  </si>
  <si>
    <t>Debt Fee Amortisation</t>
  </si>
  <si>
    <t>Level</t>
  </si>
  <si>
    <t>Amortisation</t>
  </si>
  <si>
    <t>Unamortised Balance</t>
  </si>
  <si>
    <t>EBIT</t>
  </si>
  <si>
    <t>Less Taxes</t>
  </si>
  <si>
    <t>Add: Exit Proceeds</t>
  </si>
  <si>
    <t>Less: Operating Cash Required</t>
  </si>
  <si>
    <t>Cash Flow for Debt Repayment</t>
  </si>
  <si>
    <t>Less: Debt Repayment</t>
  </si>
  <si>
    <t>Cash Sweep Requirement</t>
  </si>
  <si>
    <t>Net Cash Flow to Equity</t>
  </si>
  <si>
    <t>Add: Income</t>
  </si>
  <si>
    <t>Debt to Capital</t>
  </si>
  <si>
    <t>Debt to EBITDA</t>
  </si>
  <si>
    <t>EBIT to Interest</t>
  </si>
  <si>
    <t>Cash Sweep Percent</t>
  </si>
  <si>
    <t>Equity Cash Flow</t>
  </si>
  <si>
    <t>Equity IRR</t>
  </si>
  <si>
    <t>Payable Balance</t>
  </si>
  <si>
    <t>Add: Terminal Procceds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</si>
</sst>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8" formatCode="0.0%"/>
    <numFmt numFmtId="170" formatCode="_(* #,##0_);_(* \(#,##0\);_(* &quot;-&quot;??_);_(@_)"/>
    <numFmt numFmtId="171" formatCode="#,##0.0"/>
  </numFmts>
  <fonts count="8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</font>
    <font>
      <u val="singleAccounting"/>
      <sz val="10"/>
      <name val="Arial"/>
      <family val="2"/>
    </font>
    <font>
      <sz val="10"/>
      <color rgb="FF3333CC"/>
      <name val="Arial"/>
      <family val="2"/>
    </font>
    <font>
      <u val="singleAccounting"/>
      <sz val="10"/>
      <color rgb="FF3333CC"/>
      <name val="Arial"/>
      <family val="2"/>
    </font>
    <font>
      <sz val="10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9" fontId="3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NumberFormat="0" applyFill="0" applyBorder="0" applyAlignment="0" applyProtection="0"/>
  </cellStyleXfs>
  <cellXfs count="8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4" fontId="0" fillId="0" borderId="0" xfId="0" applyNumberFormat="1"/>
    <xf numFmtId="0" fontId="2" fillId="0" borderId="0" xfId="0" applyFont="1"/>
    <xf numFmtId="4" fontId="1" fillId="0" borderId="0" xfId="0" applyNumberFormat="1" applyFont="1"/>
    <xf numFmtId="0" fontId="1" fillId="0" borderId="0" xfId="0" applyFont="1" applyBorder="1"/>
    <xf numFmtId="0" fontId="2" fillId="0" borderId="0" xfId="0" applyFont="1" applyBorder="1"/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 vertical="center"/>
    </xf>
    <xf numFmtId="43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/>
    <xf numFmtId="4" fontId="1" fillId="0" borderId="1" xfId="0" applyNumberFormat="1" applyFont="1" applyBorder="1"/>
    <xf numFmtId="0" fontId="1" fillId="0" borderId="0" xfId="0" applyFont="1" applyBorder="1" applyAlignment="1">
      <alignment horizontal="centerContinuous" vertical="center"/>
    </xf>
    <xf numFmtId="0" fontId="1" fillId="0" borderId="1" xfId="0" applyFont="1" applyBorder="1"/>
    <xf numFmtId="0" fontId="1" fillId="0" borderId="0" xfId="2" applyFont="1" applyBorder="1" applyAlignment="1">
      <alignment horizontal="center" vertical="center"/>
    </xf>
    <xf numFmtId="0" fontId="1" fillId="0" borderId="0" xfId="2" applyFont="1" applyBorder="1" applyAlignment="1"/>
    <xf numFmtId="0" fontId="1" fillId="0" borderId="0" xfId="2" applyFont="1" applyBorder="1" applyAlignment="1">
      <alignment horizontal="center"/>
    </xf>
    <xf numFmtId="43" fontId="1" fillId="0" borderId="0" xfId="3" applyFont="1" applyBorder="1" applyAlignment="1"/>
    <xf numFmtId="4" fontId="1" fillId="0" borderId="0" xfId="2" applyNumberFormat="1" applyFont="1" applyBorder="1" applyAlignment="1"/>
    <xf numFmtId="43" fontId="4" fillId="0" borderId="0" xfId="3" applyFont="1" applyBorder="1" applyAlignment="1"/>
    <xf numFmtId="43" fontId="1" fillId="0" borderId="0" xfId="2" applyNumberFormat="1" applyFont="1" applyBorder="1" applyAlignment="1"/>
    <xf numFmtId="14" fontId="1" fillId="0" borderId="0" xfId="2" applyNumberFormat="1" applyFont="1" applyBorder="1" applyAlignment="1">
      <alignment horizontal="center" vertical="center"/>
    </xf>
    <xf numFmtId="0" fontId="1" fillId="0" borderId="2" xfId="2" applyFont="1" applyBorder="1" applyAlignment="1"/>
    <xf numFmtId="0" fontId="1" fillId="0" borderId="0" xfId="0" applyFont="1" applyBorder="1" applyAlignment="1">
      <alignment horizontal="left" vertical="center"/>
    </xf>
    <xf numFmtId="0" fontId="1" fillId="0" borderId="0" xfId="0" applyFont="1" applyFill="1" applyBorder="1"/>
    <xf numFmtId="10" fontId="1" fillId="0" borderId="0" xfId="2" applyNumberFormat="1" applyFont="1" applyBorder="1" applyAlignment="1"/>
    <xf numFmtId="9" fontId="1" fillId="0" borderId="0" xfId="2" applyNumberFormat="1" applyFont="1" applyBorder="1" applyAlignment="1"/>
    <xf numFmtId="43" fontId="1" fillId="0" borderId="0" xfId="0" applyNumberFormat="1" applyFont="1" applyBorder="1"/>
    <xf numFmtId="9" fontId="1" fillId="0" borderId="0" xfId="0" applyNumberFormat="1" applyFont="1" applyBorder="1"/>
    <xf numFmtId="168" fontId="1" fillId="0" borderId="0" xfId="0" applyNumberFormat="1" applyFont="1" applyBorder="1"/>
    <xf numFmtId="10" fontId="1" fillId="0" borderId="0" xfId="0" applyNumberFormat="1" applyFont="1" applyBorder="1"/>
    <xf numFmtId="10" fontId="1" fillId="0" borderId="0" xfId="1" applyNumberFormat="1" applyFont="1" applyBorder="1"/>
    <xf numFmtId="3" fontId="1" fillId="0" borderId="0" xfId="0" applyNumberFormat="1" applyFont="1" applyBorder="1"/>
    <xf numFmtId="0" fontId="5" fillId="0" borderId="0" xfId="0" applyFont="1" applyBorder="1"/>
    <xf numFmtId="15" fontId="5" fillId="0" borderId="0" xfId="0" applyNumberFormat="1" applyFont="1" applyBorder="1" applyAlignment="1">
      <alignment horizontal="center"/>
    </xf>
    <xf numFmtId="14" fontId="5" fillId="0" borderId="0" xfId="0" applyNumberFormat="1" applyFont="1" applyBorder="1"/>
    <xf numFmtId="43" fontId="5" fillId="0" borderId="0" xfId="3" applyFont="1" applyBorder="1" applyAlignment="1"/>
    <xf numFmtId="43" fontId="6" fillId="0" borderId="0" xfId="3" applyFont="1" applyBorder="1" applyAlignment="1"/>
    <xf numFmtId="43" fontId="5" fillId="0" borderId="2" xfId="3" applyFont="1" applyBorder="1" applyAlignment="1"/>
    <xf numFmtId="0" fontId="5" fillId="0" borderId="0" xfId="2" applyFont="1" applyBorder="1" applyAlignment="1"/>
    <xf numFmtId="9" fontId="5" fillId="0" borderId="0" xfId="2" applyNumberFormat="1" applyFont="1" applyBorder="1" applyAlignment="1"/>
    <xf numFmtId="10" fontId="5" fillId="0" borderId="0" xfId="2" applyNumberFormat="1" applyFont="1" applyBorder="1" applyAlignment="1"/>
    <xf numFmtId="9" fontId="5" fillId="0" borderId="0" xfId="0" applyNumberFormat="1" applyFont="1" applyBorder="1"/>
    <xf numFmtId="10" fontId="5" fillId="0" borderId="0" xfId="0" applyNumberFormat="1" applyFont="1" applyBorder="1"/>
    <xf numFmtId="3" fontId="5" fillId="0" borderId="0" xfId="0" applyNumberFormat="1" applyFont="1" applyBorder="1"/>
    <xf numFmtId="0" fontId="1" fillId="0" borderId="1" xfId="0" applyFont="1" applyFill="1" applyBorder="1"/>
    <xf numFmtId="4" fontId="1" fillId="0" borderId="0" xfId="1" applyNumberFormat="1" applyFont="1" applyBorder="1"/>
    <xf numFmtId="0" fontId="1" fillId="0" borderId="2" xfId="0" applyFont="1" applyBorder="1"/>
    <xf numFmtId="170" fontId="5" fillId="0" borderId="0" xfId="0" applyNumberFormat="1" applyFont="1" applyBorder="1" applyAlignment="1">
      <alignment horizontal="center" vertical="center"/>
    </xf>
    <xf numFmtId="170" fontId="5" fillId="0" borderId="0" xfId="0" applyNumberFormat="1" applyFont="1" applyBorder="1"/>
    <xf numFmtId="170" fontId="5" fillId="0" borderId="1" xfId="0" applyNumberFormat="1" applyFont="1" applyBorder="1" applyAlignment="1">
      <alignment horizontal="center" vertical="center"/>
    </xf>
    <xf numFmtId="170" fontId="5" fillId="0" borderId="1" xfId="0" applyNumberFormat="1" applyFont="1" applyBorder="1"/>
    <xf numFmtId="171" fontId="1" fillId="0" borderId="0" xfId="2" applyNumberFormat="1" applyFont="1" applyBorder="1" applyAlignment="1"/>
    <xf numFmtId="171" fontId="1" fillId="0" borderId="0" xfId="0" applyNumberFormat="1" applyFont="1" applyBorder="1"/>
    <xf numFmtId="3" fontId="1" fillId="0" borderId="0" xfId="2" applyNumberFormat="1" applyFont="1" applyBorder="1" applyAlignment="1"/>
    <xf numFmtId="3" fontId="1" fillId="0" borderId="1" xfId="0" applyNumberFormat="1" applyFont="1" applyBorder="1"/>
    <xf numFmtId="3" fontId="1" fillId="0" borderId="2" xfId="0" applyNumberFormat="1" applyFont="1" applyBorder="1"/>
    <xf numFmtId="3" fontId="0" fillId="0" borderId="0" xfId="0" applyNumberFormat="1"/>
    <xf numFmtId="9" fontId="0" fillId="0" borderId="0" xfId="0" applyNumberFormat="1"/>
    <xf numFmtId="3" fontId="1" fillId="0" borderId="0" xfId="0" applyNumberFormat="1" applyFont="1"/>
    <xf numFmtId="171" fontId="1" fillId="0" borderId="0" xfId="0" applyNumberFormat="1" applyFont="1"/>
    <xf numFmtId="9" fontId="1" fillId="0" borderId="0" xfId="0" applyNumberFormat="1" applyFont="1"/>
    <xf numFmtId="0" fontId="5" fillId="0" borderId="0" xfId="0" applyFont="1"/>
    <xf numFmtId="9" fontId="5" fillId="0" borderId="0" xfId="0" applyNumberFormat="1" applyFont="1"/>
    <xf numFmtId="10" fontId="5" fillId="0" borderId="0" xfId="0" applyNumberFormat="1" applyFont="1"/>
    <xf numFmtId="0" fontId="1" fillId="0" borderId="3" xfId="0" applyFont="1" applyBorder="1"/>
    <xf numFmtId="0" fontId="1" fillId="0" borderId="4" xfId="0" applyFont="1" applyBorder="1"/>
    <xf numFmtId="9" fontId="1" fillId="0" borderId="4" xfId="0" applyNumberFormat="1" applyFont="1" applyBorder="1"/>
    <xf numFmtId="9" fontId="1" fillId="0" borderId="5" xfId="0" applyNumberFormat="1" applyFont="1" applyBorder="1"/>
    <xf numFmtId="0" fontId="0" fillId="0" borderId="2" xfId="0" applyBorder="1"/>
    <xf numFmtId="0" fontId="7" fillId="0" borderId="0" xfId="0" applyFont="1"/>
    <xf numFmtId="9" fontId="7" fillId="0" borderId="0" xfId="0" applyNumberFormat="1" applyFont="1"/>
    <xf numFmtId="4" fontId="7" fillId="0" borderId="0" xfId="0" applyNumberFormat="1" applyFont="1"/>
    <xf numFmtId="10" fontId="7" fillId="0" borderId="0" xfId="0" applyNumberFormat="1" applyFont="1"/>
    <xf numFmtId="0" fontId="7" fillId="0" borderId="0" xfId="0" applyFont="1" applyAlignment="1">
      <alignment horizontal="center"/>
    </xf>
    <xf numFmtId="3" fontId="7" fillId="0" borderId="0" xfId="0" applyNumberFormat="1" applyFont="1"/>
    <xf numFmtId="3" fontId="7" fillId="0" borderId="2" xfId="0" applyNumberFormat="1" applyFont="1" applyBorder="1"/>
    <xf numFmtId="0" fontId="1" fillId="0" borderId="6" xfId="0" applyFont="1" applyBorder="1"/>
    <xf numFmtId="0" fontId="0" fillId="0" borderId="6" xfId="0" applyBorder="1"/>
    <xf numFmtId="3" fontId="0" fillId="0" borderId="6" xfId="0" applyNumberFormat="1" applyBorder="1"/>
    <xf numFmtId="3" fontId="0" fillId="0" borderId="2" xfId="0" applyNumberFormat="1" applyBorder="1"/>
    <xf numFmtId="0" fontId="0" fillId="0" borderId="1" xfId="0" applyBorder="1"/>
    <xf numFmtId="3" fontId="0" fillId="0" borderId="1" xfId="0" applyNumberFormat="1" applyBorder="1"/>
    <xf numFmtId="3" fontId="0" fillId="2" borderId="0" xfId="0" applyNumberFormat="1" applyFill="1"/>
  </cellXfs>
  <cellStyles count="5">
    <cellStyle name="Comma 2" xfId="3"/>
    <cellStyle name="Comma 3" xfId="4"/>
    <cellStyle name="Normal" xfId="0" builtinId="0"/>
    <cellStyle name="Normal 2" xfId="2"/>
    <cellStyle name="Percent" xfId="1" builtinId="5"/>
  </cellStyles>
  <dxfs count="1">
    <dxf>
      <fill>
        <patternFill>
          <bgColor theme="4" tint="0.79998168889431442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2.xml"/><Relationship Id="rId5" Type="http://schemas.openxmlformats.org/officeDocument/2006/relationships/chartsheet" Target="chartsheets/sheet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400" b="1"/>
              <a:t>Return on Equity and Return on Invested Capital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'Financial Model'!$B$387:$H$387</c:f>
              <c:strCache>
                <c:ptCount val="7"/>
                <c:pt idx="0">
                  <c:v>Return on Equity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'Financial Model'!$I$386:$T$386</c:f>
              <c:numCache>
                <c:formatCode>General</c:formatCode>
                <c:ptCount val="12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</c:numCache>
            </c:numRef>
          </c:cat>
          <c:val>
            <c:numRef>
              <c:f>'Financial Model'!$I$387:$T$387</c:f>
              <c:numCache>
                <c:formatCode>0%</c:formatCode>
                <c:ptCount val="12"/>
                <c:pt idx="0">
                  <c:v>0.34822663247899466</c:v>
                </c:pt>
                <c:pt idx="1">
                  <c:v>0.19923117558073708</c:v>
                </c:pt>
                <c:pt idx="2">
                  <c:v>0.34340049443000975</c:v>
                </c:pt>
                <c:pt idx="3">
                  <c:v>0.22210682142143834</c:v>
                </c:pt>
                <c:pt idx="4">
                  <c:v>0.28399896668171554</c:v>
                </c:pt>
                <c:pt idx="5">
                  <c:v>0.29639946241825499</c:v>
                </c:pt>
                <c:pt idx="6">
                  <c:v>0.3052585942849097</c:v>
                </c:pt>
                <c:pt idx="7">
                  <c:v>0.31288736455418664</c:v>
                </c:pt>
                <c:pt idx="8">
                  <c:v>0.31944808187171125</c:v>
                </c:pt>
                <c:pt idx="9">
                  <c:v>0.32508860053213401</c:v>
                </c:pt>
                <c:pt idx="10">
                  <c:v>0.32994064729691663</c:v>
                </c:pt>
                <c:pt idx="11">
                  <c:v>0.33411963887923257</c:v>
                </c:pt>
              </c:numCache>
            </c:numRef>
          </c:val>
        </c:ser>
        <c:ser>
          <c:idx val="1"/>
          <c:order val="1"/>
          <c:tx>
            <c:strRef>
              <c:f>'Financial Model'!$B$388:$H$388</c:f>
              <c:strCache>
                <c:ptCount val="7"/>
                <c:pt idx="0">
                  <c:v>Return on Invested Capital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'Financial Model'!$I$386:$T$386</c:f>
              <c:numCache>
                <c:formatCode>General</c:formatCode>
                <c:ptCount val="12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</c:numCache>
            </c:numRef>
          </c:cat>
          <c:val>
            <c:numRef>
              <c:f>'Financial Model'!$I$388:$T$388</c:f>
              <c:numCache>
                <c:formatCode>0%</c:formatCode>
                <c:ptCount val="12"/>
                <c:pt idx="0">
                  <c:v>0.71362379947563503</c:v>
                </c:pt>
                <c:pt idx="1">
                  <c:v>0.2275762175133039</c:v>
                </c:pt>
                <c:pt idx="2">
                  <c:v>0.39658918404255311</c:v>
                </c:pt>
                <c:pt idx="3">
                  <c:v>0.26680519170547268</c:v>
                </c:pt>
                <c:pt idx="4">
                  <c:v>0.31228857706407009</c:v>
                </c:pt>
                <c:pt idx="5">
                  <c:v>0.32279580222969051</c:v>
                </c:pt>
                <c:pt idx="6">
                  <c:v>0.33180881128676615</c:v>
                </c:pt>
                <c:pt idx="7">
                  <c:v>0.33951586082099366</c:v>
                </c:pt>
                <c:pt idx="8">
                  <c:v>0.3460937290513727</c:v>
                </c:pt>
                <c:pt idx="9">
                  <c:v>0.35170333384685631</c:v>
                </c:pt>
                <c:pt idx="10">
                  <c:v>0.3564878065947153</c:v>
                </c:pt>
                <c:pt idx="11">
                  <c:v>0.36057225177151858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88194160"/>
        <c:axId val="1788200688"/>
      </c:barChart>
      <c:catAx>
        <c:axId val="1788194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88200688"/>
        <c:crosses val="autoZero"/>
        <c:auto val="1"/>
        <c:lblAlgn val="ctr"/>
        <c:lblOffset val="100"/>
        <c:noMultiLvlLbl val="0"/>
      </c:catAx>
      <c:valAx>
        <c:axId val="1788200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881941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'Graph Data'!$F$74</c:f>
          <c:strCache>
            <c:ptCount val="1"/>
            <c:pt idx="0">
              <c:v>Revenue Growth Index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'Graph Data'!$F$77:$H$77</c:f>
              <c:strCache>
                <c:ptCount val="3"/>
                <c:pt idx="0">
                  <c:v>History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'Graph Data'!$I$76:$T$76</c:f>
              <c:numCache>
                <c:formatCode>General</c:formatCode>
                <c:ptCount val="12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</c:numCache>
            </c:numRef>
          </c:cat>
          <c:val>
            <c:numRef>
              <c:f>'Graph Data'!$I$77:$T$77</c:f>
              <c:numCache>
                <c:formatCode>General</c:formatCode>
                <c:ptCount val="12"/>
                <c:pt idx="0">
                  <c:v>0</c:v>
                </c:pt>
                <c:pt idx="1">
                  <c:v>1.0264678830381553</c:v>
                </c:pt>
                <c:pt idx="2">
                  <c:v>1.4109684833500982</c:v>
                </c:pt>
                <c:pt idx="3">
                  <c:v>0.93067437594038993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1"/>
          <c:order val="1"/>
          <c:tx>
            <c:strRef>
              <c:f>'Graph Data'!$F$78:$H$78</c:f>
              <c:strCache>
                <c:ptCount val="3"/>
                <c:pt idx="0">
                  <c:v>Projection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'Graph Data'!$I$76:$T$76</c:f>
              <c:numCache>
                <c:formatCode>General</c:formatCode>
                <c:ptCount val="12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</c:numCache>
            </c:numRef>
          </c:cat>
          <c:val>
            <c:numRef>
              <c:f>'Graph Data'!$I$78:$T$78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1.1000000000000001</c:v>
                </c:pt>
                <c:pt idx="5">
                  <c:v>1.1000000000000001</c:v>
                </c:pt>
                <c:pt idx="6">
                  <c:v>1.1000000000000001</c:v>
                </c:pt>
                <c:pt idx="7">
                  <c:v>1.1000000000000001</c:v>
                </c:pt>
                <c:pt idx="8">
                  <c:v>1.1000000000000001</c:v>
                </c:pt>
                <c:pt idx="9">
                  <c:v>1.1000000000000001</c:v>
                </c:pt>
                <c:pt idx="10">
                  <c:v>1.1000000000000001</c:v>
                </c:pt>
                <c:pt idx="11">
                  <c:v>1.1000000000000001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58538560"/>
        <c:axId val="1858539104"/>
      </c:barChart>
      <c:catAx>
        <c:axId val="1858538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8539104"/>
        <c:crosses val="autoZero"/>
        <c:auto val="1"/>
        <c:lblAlgn val="ctr"/>
        <c:lblOffset val="100"/>
        <c:noMultiLvlLbl val="0"/>
      </c:catAx>
      <c:valAx>
        <c:axId val="1858539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85385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5.xml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13"/>
  <sheetViews>
    <sheetView zoomScale="70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>
  <sheetPr codeName="Chart10"/>
  <sheetViews>
    <sheetView zoomScale="70" workbookViewId="0" zoomToFit="1"/>
  </sheetViews>
  <pageMargins left="0.7" right="0.7" top="0.75" bottom="0.75" header="0.3" footer="0.3"/>
  <drawing r:id="rId1"/>
  <legacyDrawing r:id="rId2"/>
</chartsheet>
</file>

<file path=xl/ctrlProps/ctrlProp1.xml><?xml version="1.0" encoding="utf-8"?>
<formControlPr xmlns="http://schemas.microsoft.com/office/spreadsheetml/2009/9/main" objectType="Drop" dropStyle="combo" dx="25" fmlaLink="'Structuring Assumptions'!$E$56" fmlaRange="'Structuring Assumptions'!$D$58:$D$61" noThreeD="1" sel="3" val="0"/>
</file>

<file path=xl/ctrlProps/ctrlProp2.xml><?xml version="1.0" encoding="utf-8"?>
<formControlPr xmlns="http://schemas.microsoft.com/office/spreadsheetml/2009/9/main" objectType="Drop" dropStyle="combo" dx="25" fmlaLink="'Structuring Assumptions'!$E$56" fmlaRange="'Structuring Assumptions'!$D$58:$D$61" noThreeD="1" sel="3" val="0"/>
</file>

<file path=xl/ctrlProps/ctrlProp3.xml><?xml version="1.0" encoding="utf-8"?>
<formControlPr xmlns="http://schemas.microsoft.com/office/spreadsheetml/2009/9/main" objectType="Drop" dropLines="30" dropStyle="combo" dx="25" fmlaLink="'Graph Data'!$I$71" fmlaRange="'Graph Data'!$F$4:$F$68" noThreeD="1" val="0"/>
</file>

<file path=xl/ctrlProps/ctrlProp4.xml><?xml version="1.0" encoding="utf-8"?>
<formControlPr xmlns="http://schemas.microsoft.com/office/spreadsheetml/2009/9/main" objectType="Spin" dx="31" fmlaLink="'Graph Data'!$I$71" max="59" min="1" page="10"/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984250</xdr:colOff>
          <xdr:row>52</xdr:row>
          <xdr:rowOff>152400</xdr:rowOff>
        </xdr:from>
        <xdr:to>
          <xdr:col>7</xdr:col>
          <xdr:colOff>946150</xdr:colOff>
          <xdr:row>54</xdr:row>
          <xdr:rowOff>15875</xdr:rowOff>
        </xdr:to>
        <xdr:sp macro="" textlink="">
          <xdr:nvSpPr>
            <xdr:cNvPr id="14337" name="Drop Down 1" hidden="1">
              <a:extLst>
                <a:ext uri="{63B3BB69-23CF-44E3-9099-C40C66FF867C}">
                  <a14:compatExt spid="_x0000_s143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931862</xdr:colOff>
          <xdr:row>0</xdr:row>
          <xdr:rowOff>119063</xdr:rowOff>
        </xdr:from>
        <xdr:to>
          <xdr:col>5</xdr:col>
          <xdr:colOff>317499</xdr:colOff>
          <xdr:row>1</xdr:row>
          <xdr:rowOff>165100</xdr:rowOff>
        </xdr:to>
        <xdr:sp macro="" textlink="">
          <xdr:nvSpPr>
            <xdr:cNvPr id="17430" name="Drop Down 22" hidden="1">
              <a:extLst>
                <a:ext uri="{63B3BB69-23CF-44E3-9099-C40C66FF867C}">
                  <a14:compatExt spid="_x0000_s174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577850</xdr:colOff>
          <xdr:row>68</xdr:row>
          <xdr:rowOff>69850</xdr:rowOff>
        </xdr:from>
        <xdr:to>
          <xdr:col>6</xdr:col>
          <xdr:colOff>368300</xdr:colOff>
          <xdr:row>69</xdr:row>
          <xdr:rowOff>120650</xdr:rowOff>
        </xdr:to>
        <xdr:sp macro="" textlink="">
          <xdr:nvSpPr>
            <xdr:cNvPr id="11265" name="Drop Down 1" hidden="1">
              <a:extLst>
                <a:ext uri="{63B3BB69-23CF-44E3-9099-C40C66FF867C}">
                  <a14:compatExt spid="_x0000_s112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139700</xdr:colOff>
          <xdr:row>69</xdr:row>
          <xdr:rowOff>133350</xdr:rowOff>
        </xdr:from>
        <xdr:to>
          <xdr:col>9</xdr:col>
          <xdr:colOff>342900</xdr:colOff>
          <xdr:row>70</xdr:row>
          <xdr:rowOff>152400</xdr:rowOff>
        </xdr:to>
        <xdr:sp macro="" textlink="">
          <xdr:nvSpPr>
            <xdr:cNvPr id="11266" name="Spinner 2" hidden="1">
              <a:extLst>
                <a:ext uri="{63B3BB69-23CF-44E3-9099-C40C66FF867C}">
                  <a14:compatExt spid="_x0000_s112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54143" cy="6277429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54143" cy="6277429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3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Relationship Id="rId4" Type="http://schemas.openxmlformats.org/officeDocument/2006/relationships/ctrlProp" Target="../ctrlProps/ctrlProp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T388"/>
  <sheetViews>
    <sheetView zoomScale="80" zoomScaleNormal="80" workbookViewId="0">
      <pane xSplit="8" ySplit="3" topLeftCell="I134" activePane="bottomRight" state="frozen"/>
      <selection pane="topRight" activeCell="I1" sqref="I1"/>
      <selection pane="bottomLeft" activeCell="A4" sqref="A4"/>
      <selection pane="bottomRight" activeCell="D154" sqref="D154"/>
    </sheetView>
  </sheetViews>
  <sheetFormatPr defaultRowHeight="13" outlineLevelRow="1" x14ac:dyDescent="0.3"/>
  <cols>
    <col min="1" max="1" width="0.7265625" style="7" customWidth="1"/>
    <col min="2" max="3" width="0.7265625" style="6" customWidth="1"/>
    <col min="4" max="4" width="34" style="6" customWidth="1"/>
    <col min="5" max="5" width="10.08984375" style="6" customWidth="1"/>
    <col min="6" max="6" width="14.54296875" style="6" customWidth="1"/>
    <col min="7" max="7" width="15.6328125" style="6" customWidth="1"/>
    <col min="8" max="8" width="10.6328125" style="6" customWidth="1"/>
    <col min="9" max="21" width="17.7265625" style="6" customWidth="1"/>
    <col min="22" max="16384" width="8.7265625" style="6"/>
  </cols>
  <sheetData>
    <row r="1" spans="1:20" x14ac:dyDescent="0.3">
      <c r="A1" s="7" t="s">
        <v>124</v>
      </c>
      <c r="E1" s="6" t="s">
        <v>176</v>
      </c>
      <c r="G1" s="8" t="s">
        <v>177</v>
      </c>
    </row>
    <row r="2" spans="1:20" x14ac:dyDescent="0.3">
      <c r="C2" s="6" t="s">
        <v>126</v>
      </c>
      <c r="F2" s="6">
        <f>MATCH(FALSE,3:3,0)-1</f>
        <v>12</v>
      </c>
      <c r="I2" s="6">
        <f>YEAR(I8)</f>
        <v>2011</v>
      </c>
      <c r="J2" s="6">
        <f t="shared" ref="J2:L2" si="0">YEAR(J8)</f>
        <v>2012</v>
      </c>
      <c r="K2" s="6">
        <f t="shared" si="0"/>
        <v>2013</v>
      </c>
      <c r="L2" s="6">
        <f t="shared" si="0"/>
        <v>2014</v>
      </c>
      <c r="M2" s="25">
        <f>L2+1</f>
        <v>2015</v>
      </c>
      <c r="N2" s="25">
        <f t="shared" ref="N2:T2" si="1">M2+1</f>
        <v>2016</v>
      </c>
      <c r="O2" s="25">
        <f t="shared" si="1"/>
        <v>2017</v>
      </c>
      <c r="P2" s="25">
        <f t="shared" si="1"/>
        <v>2018</v>
      </c>
      <c r="Q2" s="25">
        <f t="shared" si="1"/>
        <v>2019</v>
      </c>
      <c r="R2" s="25">
        <f t="shared" si="1"/>
        <v>2020</v>
      </c>
      <c r="S2" s="25">
        <f t="shared" si="1"/>
        <v>2021</v>
      </c>
      <c r="T2" s="25">
        <f t="shared" si="1"/>
        <v>2022</v>
      </c>
    </row>
    <row r="3" spans="1:20" x14ac:dyDescent="0.3">
      <c r="C3" s="6" t="s">
        <v>125</v>
      </c>
      <c r="F3" s="34">
        <v>2014</v>
      </c>
      <c r="I3" s="6" t="b">
        <f>I2&lt;=$F$3</f>
        <v>1</v>
      </c>
      <c r="J3" s="6" t="b">
        <f t="shared" ref="J3:T3" si="2">J2&lt;=$F$3</f>
        <v>1</v>
      </c>
      <c r="K3" s="6" t="b">
        <f t="shared" si="2"/>
        <v>1</v>
      </c>
      <c r="L3" s="6" t="b">
        <f t="shared" si="2"/>
        <v>1</v>
      </c>
      <c r="M3" s="6" t="b">
        <f t="shared" si="2"/>
        <v>0</v>
      </c>
      <c r="N3" s="6" t="b">
        <f t="shared" si="2"/>
        <v>0</v>
      </c>
      <c r="O3" s="6" t="b">
        <f t="shared" si="2"/>
        <v>0</v>
      </c>
      <c r="P3" s="6" t="b">
        <f t="shared" si="2"/>
        <v>0</v>
      </c>
      <c r="Q3" s="6" t="b">
        <f t="shared" si="2"/>
        <v>0</v>
      </c>
      <c r="R3" s="6" t="b">
        <f t="shared" si="2"/>
        <v>0</v>
      </c>
      <c r="S3" s="6" t="b">
        <f t="shared" si="2"/>
        <v>0</v>
      </c>
      <c r="T3" s="6" t="b">
        <f t="shared" si="2"/>
        <v>0</v>
      </c>
    </row>
    <row r="5" spans="1:20" x14ac:dyDescent="0.3">
      <c r="A5" s="7" t="s">
        <v>121</v>
      </c>
      <c r="I5" s="13"/>
      <c r="J5" s="13"/>
    </row>
    <row r="6" spans="1:20" x14ac:dyDescent="0.3">
      <c r="D6" s="24" t="s">
        <v>0</v>
      </c>
      <c r="E6" s="24"/>
      <c r="F6" s="24"/>
      <c r="G6" s="24"/>
      <c r="H6" s="24"/>
    </row>
    <row r="7" spans="1:20" x14ac:dyDescent="0.3">
      <c r="D7" s="6" t="s">
        <v>1</v>
      </c>
      <c r="J7" s="8"/>
    </row>
    <row r="8" spans="1:20" x14ac:dyDescent="0.3">
      <c r="D8" s="9"/>
      <c r="E8" s="9"/>
      <c r="F8" s="9"/>
      <c r="G8" s="9"/>
      <c r="H8" s="9"/>
      <c r="I8" s="35">
        <v>40908</v>
      </c>
      <c r="J8" s="35">
        <v>41274</v>
      </c>
      <c r="K8" s="35">
        <v>41639</v>
      </c>
      <c r="L8" s="36">
        <v>42004</v>
      </c>
    </row>
    <row r="9" spans="1:20" x14ac:dyDescent="0.3">
      <c r="D9" s="6" t="s">
        <v>2</v>
      </c>
      <c r="I9" s="10"/>
      <c r="J9" s="10"/>
      <c r="L9" s="11"/>
    </row>
    <row r="10" spans="1:20" x14ac:dyDescent="0.3">
      <c r="D10" s="6" t="s">
        <v>3</v>
      </c>
      <c r="I10" s="49">
        <v>3784294503.7239799</v>
      </c>
      <c r="J10" s="49">
        <v>3884456768.0304799</v>
      </c>
      <c r="K10" s="50">
        <v>5480846074.6269903</v>
      </c>
      <c r="L10" s="50">
        <v>5100883000.1288099</v>
      </c>
    </row>
    <row r="11" spans="1:20" x14ac:dyDescent="0.3">
      <c r="D11" s="6" t="s">
        <v>4</v>
      </c>
      <c r="I11" s="49">
        <v>-21361047.050000001</v>
      </c>
      <c r="J11" s="49">
        <v>-4448226</v>
      </c>
      <c r="K11" s="50">
        <v>-2304166</v>
      </c>
      <c r="L11" s="50">
        <v>-834699.96</v>
      </c>
    </row>
    <row r="12" spans="1:20" x14ac:dyDescent="0.3">
      <c r="D12" s="6" t="s">
        <v>5</v>
      </c>
      <c r="I12" s="49">
        <v>0</v>
      </c>
      <c r="J12" s="49">
        <v>0</v>
      </c>
      <c r="K12" s="50">
        <v>0</v>
      </c>
      <c r="L12" s="50">
        <v>0</v>
      </c>
    </row>
    <row r="13" spans="1:20" ht="13.5" thickBot="1" x14ac:dyDescent="0.35">
      <c r="D13" s="14" t="s">
        <v>6</v>
      </c>
      <c r="E13" s="14"/>
      <c r="F13" s="14"/>
      <c r="G13" s="14"/>
      <c r="H13" s="14"/>
      <c r="I13" s="51">
        <v>3762933456.6739798</v>
      </c>
      <c r="J13" s="51">
        <v>3880008542.0304799</v>
      </c>
      <c r="K13" s="52">
        <v>5478541908.6269903</v>
      </c>
      <c r="L13" s="52">
        <v>5100048300.1688099</v>
      </c>
    </row>
    <row r="14" spans="1:20" x14ac:dyDescent="0.3">
      <c r="D14" s="6" t="s">
        <v>7</v>
      </c>
      <c r="I14" s="49">
        <v>957146929.88996994</v>
      </c>
      <c r="J14" s="49">
        <v>880777972.17455494</v>
      </c>
      <c r="K14" s="50">
        <v>1551106815.45171</v>
      </c>
      <c r="L14" s="50">
        <v>1372621773.1294601</v>
      </c>
    </row>
    <row r="15" spans="1:20" ht="13.5" thickBot="1" x14ac:dyDescent="0.35">
      <c r="D15" s="14" t="s">
        <v>8</v>
      </c>
      <c r="E15" s="14"/>
      <c r="F15" s="14"/>
      <c r="G15" s="14"/>
      <c r="H15" s="14"/>
      <c r="I15" s="51">
        <v>2805786526.7840099</v>
      </c>
      <c r="J15" s="51">
        <v>2999230569.8559251</v>
      </c>
      <c r="K15" s="52">
        <v>3927435093.1752806</v>
      </c>
      <c r="L15" s="52">
        <v>3727426527.0393496</v>
      </c>
    </row>
    <row r="16" spans="1:20" x14ac:dyDescent="0.3">
      <c r="D16" s="6" t="s">
        <v>9</v>
      </c>
      <c r="I16" s="49">
        <v>1615456223.2339787</v>
      </c>
      <c r="J16" s="49">
        <v>2218623867.1146202</v>
      </c>
      <c r="K16" s="50">
        <v>2458571898.0631995</v>
      </c>
      <c r="L16" s="50">
        <v>2778469479.2756681</v>
      </c>
    </row>
    <row r="17" spans="4:12" x14ac:dyDescent="0.3">
      <c r="D17" s="6" t="s">
        <v>10</v>
      </c>
      <c r="I17" s="49">
        <v>862981910.15999997</v>
      </c>
      <c r="J17" s="49">
        <v>1188791010.23</v>
      </c>
      <c r="K17" s="50">
        <v>1254259251</v>
      </c>
      <c r="L17" s="50">
        <v>1262005898.1600001</v>
      </c>
    </row>
    <row r="18" spans="4:12" x14ac:dyDescent="0.3">
      <c r="D18" s="6" t="s">
        <v>11</v>
      </c>
      <c r="I18" s="49">
        <v>72073709.5</v>
      </c>
      <c r="J18" s="49">
        <v>110722053.12</v>
      </c>
      <c r="K18" s="50">
        <v>152974958.13999999</v>
      </c>
      <c r="L18" s="50">
        <v>154521293.16</v>
      </c>
    </row>
    <row r="19" spans="4:12" x14ac:dyDescent="0.3">
      <c r="D19" s="6" t="s">
        <v>12</v>
      </c>
      <c r="I19" s="49">
        <v>56614895.447899997</v>
      </c>
      <c r="J19" s="49">
        <v>64368583.720739998</v>
      </c>
      <c r="K19" s="50">
        <v>71339300.051720902</v>
      </c>
      <c r="L19" s="50">
        <v>58775938.748011701</v>
      </c>
    </row>
    <row r="20" spans="4:12" x14ac:dyDescent="0.3">
      <c r="D20" s="6" t="s">
        <v>13</v>
      </c>
      <c r="I20" s="49">
        <v>72642084.549999997</v>
      </c>
      <c r="J20" s="49">
        <v>79333028.920000002</v>
      </c>
      <c r="K20" s="50">
        <v>112006184.69</v>
      </c>
      <c r="L20" s="50">
        <v>129676546.41</v>
      </c>
    </row>
    <row r="21" spans="4:12" x14ac:dyDescent="0.3">
      <c r="D21" s="6" t="s">
        <v>14</v>
      </c>
      <c r="I21" s="49">
        <v>191626512.56999999</v>
      </c>
      <c r="J21" s="49">
        <v>203393869.31</v>
      </c>
      <c r="K21" s="50">
        <v>215321702.00999999</v>
      </c>
      <c r="L21" s="50">
        <v>534855986.30000001</v>
      </c>
    </row>
    <row r="22" spans="4:12" x14ac:dyDescent="0.3">
      <c r="D22" s="6" t="s">
        <v>15</v>
      </c>
      <c r="I22" s="49">
        <v>29024748</v>
      </c>
      <c r="J22" s="49">
        <v>15499593.779999999</v>
      </c>
      <c r="K22" s="50">
        <v>32550972.629999999</v>
      </c>
      <c r="L22" s="50">
        <v>21749954.550000001</v>
      </c>
    </row>
    <row r="23" spans="4:12" x14ac:dyDescent="0.3">
      <c r="D23" s="6" t="s">
        <v>16</v>
      </c>
      <c r="I23" s="49">
        <v>26643103.120000001</v>
      </c>
      <c r="J23" s="49">
        <v>11257925</v>
      </c>
      <c r="K23" s="50">
        <v>11135795</v>
      </c>
      <c r="L23" s="50">
        <v>9351226.5500000007</v>
      </c>
    </row>
    <row r="24" spans="4:12" x14ac:dyDescent="0.3">
      <c r="D24" s="6" t="s">
        <v>17</v>
      </c>
      <c r="I24" s="49">
        <v>500000</v>
      </c>
      <c r="J24" s="49">
        <v>150000</v>
      </c>
      <c r="K24" s="50">
        <v>17100000</v>
      </c>
      <c r="L24" s="50">
        <v>1552152</v>
      </c>
    </row>
    <row r="25" spans="4:12" x14ac:dyDescent="0.3">
      <c r="D25" s="6" t="s">
        <v>18</v>
      </c>
      <c r="I25" s="49">
        <v>0</v>
      </c>
      <c r="J25" s="49">
        <v>25464384.059999999</v>
      </c>
      <c r="K25" s="50">
        <v>111089044.38</v>
      </c>
      <c r="L25" s="50">
        <v>129358336.3</v>
      </c>
    </row>
    <row r="26" spans="4:12" x14ac:dyDescent="0.3">
      <c r="D26" s="6" t="s">
        <v>19</v>
      </c>
      <c r="I26" s="49">
        <v>26581800.82</v>
      </c>
      <c r="J26" s="49">
        <v>36474837.258000001</v>
      </c>
      <c r="K26" s="50">
        <v>28900680.57</v>
      </c>
      <c r="L26" s="50">
        <v>41879776.710000001</v>
      </c>
    </row>
    <row r="27" spans="4:12" x14ac:dyDescent="0.3">
      <c r="D27" s="6" t="s">
        <v>20</v>
      </c>
      <c r="I27" s="49">
        <v>47814207.036078997</v>
      </c>
      <c r="J27" s="49">
        <v>51319427.265880004</v>
      </c>
      <c r="K27" s="50">
        <v>62167797.281478502</v>
      </c>
      <c r="L27" s="50">
        <v>66084273.097655997</v>
      </c>
    </row>
    <row r="28" spans="4:12" x14ac:dyDescent="0.3">
      <c r="D28" s="6" t="s">
        <v>21</v>
      </c>
      <c r="I28" s="49">
        <v>41723861.130000003</v>
      </c>
      <c r="J28" s="49">
        <v>57158741.479999997</v>
      </c>
      <c r="K28" s="50">
        <v>48440704.739999898</v>
      </c>
      <c r="L28" s="50">
        <v>47010372.450000003</v>
      </c>
    </row>
    <row r="29" spans="4:12" x14ac:dyDescent="0.3">
      <c r="D29" s="6" t="s">
        <v>22</v>
      </c>
      <c r="I29" s="49">
        <v>187229390.90000001</v>
      </c>
      <c r="J29" s="49">
        <v>374690412.97000003</v>
      </c>
      <c r="K29" s="50">
        <v>341285507.56999999</v>
      </c>
      <c r="L29" s="50">
        <v>321647724.83999997</v>
      </c>
    </row>
    <row r="30" spans="4:12" ht="13.5" thickBot="1" x14ac:dyDescent="0.35">
      <c r="D30" s="14" t="s">
        <v>23</v>
      </c>
      <c r="E30" s="14"/>
      <c r="F30" s="14"/>
      <c r="G30" s="14"/>
      <c r="H30" s="14"/>
      <c r="I30" s="51">
        <v>1190330303.5500312</v>
      </c>
      <c r="J30" s="51">
        <v>780606702.74130487</v>
      </c>
      <c r="K30" s="52">
        <v>1468863195.1120801</v>
      </c>
      <c r="L30" s="52">
        <v>948957047.76368141</v>
      </c>
    </row>
    <row r="31" spans="4:12" x14ac:dyDescent="0.3">
      <c r="D31" s="6" t="s">
        <v>24</v>
      </c>
      <c r="I31" s="49">
        <v>14345970.98</v>
      </c>
      <c r="J31" s="49">
        <v>3370933.84</v>
      </c>
      <c r="K31" s="50">
        <v>10876033.100000001</v>
      </c>
      <c r="L31" s="50">
        <v>56317945.719999999</v>
      </c>
    </row>
    <row r="32" spans="4:12" x14ac:dyDescent="0.3">
      <c r="D32" s="6" t="s">
        <v>25</v>
      </c>
      <c r="I32" s="49">
        <v>3625247.54</v>
      </c>
      <c r="J32" s="49">
        <v>-1612603.3</v>
      </c>
      <c r="K32" s="50">
        <v>4259043.2</v>
      </c>
      <c r="L32" s="50">
        <v>1737688.51</v>
      </c>
    </row>
    <row r="33" spans="4:12" x14ac:dyDescent="0.3">
      <c r="D33" s="6" t="s">
        <v>26</v>
      </c>
      <c r="I33" s="49">
        <v>0</v>
      </c>
      <c r="J33" s="49">
        <v>0</v>
      </c>
      <c r="K33" s="50">
        <v>0</v>
      </c>
      <c r="L33" s="50">
        <v>0</v>
      </c>
    </row>
    <row r="34" spans="4:12" x14ac:dyDescent="0.3">
      <c r="D34" s="6" t="s">
        <v>27</v>
      </c>
      <c r="I34" s="49">
        <v>77126</v>
      </c>
      <c r="J34" s="49">
        <v>4983537.1399999997</v>
      </c>
      <c r="K34" s="50">
        <v>6616989.9000000004</v>
      </c>
      <c r="L34" s="50">
        <v>52996657.210000001</v>
      </c>
    </row>
    <row r="35" spans="4:12" x14ac:dyDescent="0.3">
      <c r="D35" s="6" t="s">
        <v>28</v>
      </c>
      <c r="I35" s="49">
        <v>10643597.439999999</v>
      </c>
      <c r="J35" s="49">
        <v>0</v>
      </c>
      <c r="K35" s="50">
        <v>0</v>
      </c>
      <c r="L35" s="50">
        <v>1583600</v>
      </c>
    </row>
    <row r="36" spans="4:12" x14ac:dyDescent="0.3">
      <c r="D36" s="6" t="s">
        <v>29</v>
      </c>
      <c r="I36" s="49">
        <v>8272646.3799999999</v>
      </c>
      <c r="J36" s="49">
        <v>12885260.77</v>
      </c>
      <c r="K36" s="50">
        <v>66412460.289999992</v>
      </c>
      <c r="L36" s="50">
        <v>182270793.88999999</v>
      </c>
    </row>
    <row r="37" spans="4:12" x14ac:dyDescent="0.3">
      <c r="D37" s="6" t="s">
        <v>30</v>
      </c>
      <c r="I37" s="49">
        <v>4216560</v>
      </c>
      <c r="J37" s="49">
        <v>555305.29</v>
      </c>
      <c r="K37" s="50">
        <v>37272149.159999996</v>
      </c>
      <c r="L37" s="50">
        <v>19211570.710000001</v>
      </c>
    </row>
    <row r="38" spans="4:12" x14ac:dyDescent="0.3">
      <c r="D38" s="6" t="s">
        <v>31</v>
      </c>
      <c r="I38" s="49">
        <v>0</v>
      </c>
      <c r="J38" s="49">
        <v>0</v>
      </c>
      <c r="K38" s="50">
        <v>0</v>
      </c>
      <c r="L38" s="50">
        <v>0</v>
      </c>
    </row>
    <row r="39" spans="4:12" x14ac:dyDescent="0.3">
      <c r="D39" s="6" t="s">
        <v>32</v>
      </c>
      <c r="I39" s="49">
        <v>3809961.38</v>
      </c>
      <c r="J39" s="49">
        <v>8183528.5999999996</v>
      </c>
      <c r="K39" s="50">
        <v>27515311.129999999</v>
      </c>
      <c r="L39" s="50">
        <v>127792679.98999999</v>
      </c>
    </row>
    <row r="40" spans="4:12" x14ac:dyDescent="0.3">
      <c r="D40" s="6" t="s">
        <v>33</v>
      </c>
      <c r="I40" s="49">
        <v>246125</v>
      </c>
      <c r="J40" s="49">
        <v>4146426.88</v>
      </c>
      <c r="K40" s="50">
        <v>1625000</v>
      </c>
      <c r="L40" s="50">
        <v>35266543.189999998</v>
      </c>
    </row>
    <row r="41" spans="4:12" x14ac:dyDescent="0.3">
      <c r="D41" s="6" t="s">
        <v>34</v>
      </c>
      <c r="I41" s="49">
        <v>1196403628.1500311</v>
      </c>
      <c r="J41" s="49">
        <v>771092375.81130493</v>
      </c>
      <c r="K41" s="50">
        <v>1413326767.92208</v>
      </c>
      <c r="L41" s="50">
        <v>823004199.59368145</v>
      </c>
    </row>
    <row r="42" spans="4:12" x14ac:dyDescent="0.3">
      <c r="D42" s="6" t="s">
        <v>35</v>
      </c>
      <c r="I42" s="49">
        <v>0</v>
      </c>
      <c r="J42" s="49">
        <v>0</v>
      </c>
      <c r="K42" s="50">
        <v>0</v>
      </c>
      <c r="L42" s="50">
        <v>0</v>
      </c>
    </row>
    <row r="43" spans="4:12" x14ac:dyDescent="0.3">
      <c r="D43" s="6" t="s">
        <v>36</v>
      </c>
      <c r="I43" s="49">
        <v>0</v>
      </c>
      <c r="J43" s="49">
        <v>0</v>
      </c>
      <c r="K43" s="50">
        <v>0</v>
      </c>
      <c r="L43" s="50">
        <v>0</v>
      </c>
    </row>
    <row r="44" spans="4:12" x14ac:dyDescent="0.3">
      <c r="D44" s="6" t="s">
        <v>37</v>
      </c>
      <c r="I44" s="49">
        <v>0</v>
      </c>
      <c r="J44" s="49">
        <v>0</v>
      </c>
      <c r="K44" s="50">
        <v>0</v>
      </c>
      <c r="L44" s="50">
        <v>0</v>
      </c>
    </row>
    <row r="45" spans="4:12" x14ac:dyDescent="0.3">
      <c r="D45" s="6" t="s">
        <v>38</v>
      </c>
      <c r="I45" s="49">
        <v>1196403628.1500311</v>
      </c>
      <c r="J45" s="49">
        <v>771092375.81130493</v>
      </c>
      <c r="K45" s="50">
        <v>1413326767.92208</v>
      </c>
      <c r="L45" s="50">
        <v>823004199.59368145</v>
      </c>
    </row>
    <row r="46" spans="4:12" x14ac:dyDescent="0.3">
      <c r="D46" s="6" t="s">
        <v>39</v>
      </c>
      <c r="I46" s="49">
        <v>85900300</v>
      </c>
      <c r="J46" s="49">
        <v>77359000</v>
      </c>
      <c r="K46" s="50">
        <v>108336134.38</v>
      </c>
      <c r="L46" s="50">
        <v>62029953.939999998</v>
      </c>
    </row>
    <row r="47" spans="4:12" x14ac:dyDescent="0.3">
      <c r="D47" s="6" t="s">
        <v>40</v>
      </c>
      <c r="I47" s="49">
        <v>1110503328.1500311</v>
      </c>
      <c r="J47" s="49">
        <v>693733375.81130493</v>
      </c>
      <c r="K47" s="50">
        <v>1304990633.5420799</v>
      </c>
      <c r="L47" s="50">
        <v>760974245.65368152</v>
      </c>
    </row>
    <row r="48" spans="4:12" x14ac:dyDescent="0.3">
      <c r="D48" s="6" t="s">
        <v>41</v>
      </c>
      <c r="I48" s="49">
        <v>0</v>
      </c>
      <c r="J48" s="49">
        <v>0</v>
      </c>
      <c r="K48" s="50">
        <v>0</v>
      </c>
      <c r="L48" s="50">
        <v>0</v>
      </c>
    </row>
    <row r="49" spans="4:12" x14ac:dyDescent="0.3">
      <c r="D49" s="15" t="s">
        <v>42</v>
      </c>
      <c r="E49" s="15"/>
      <c r="F49" s="15"/>
      <c r="G49" s="15"/>
      <c r="H49" s="15"/>
      <c r="I49" s="22"/>
      <c r="J49" s="22"/>
      <c r="K49" s="22"/>
      <c r="L49" s="22"/>
    </row>
    <row r="50" spans="4:12" x14ac:dyDescent="0.3">
      <c r="D50" s="16" t="s">
        <v>43</v>
      </c>
      <c r="E50" s="16"/>
      <c r="F50" s="16"/>
      <c r="G50" s="16"/>
      <c r="H50" s="16"/>
      <c r="I50" s="37">
        <v>0</v>
      </c>
      <c r="J50" s="37">
        <v>0</v>
      </c>
      <c r="K50" s="37">
        <v>0</v>
      </c>
      <c r="L50" s="37">
        <v>0</v>
      </c>
    </row>
    <row r="51" spans="4:12" hidden="1" outlineLevel="1" x14ac:dyDescent="0.3">
      <c r="D51" s="16" t="s">
        <v>44</v>
      </c>
      <c r="E51" s="16"/>
      <c r="F51" s="16"/>
      <c r="G51" s="16"/>
      <c r="H51" s="16"/>
      <c r="I51" s="37">
        <v>0</v>
      </c>
      <c r="J51" s="37">
        <v>0</v>
      </c>
      <c r="K51" s="37">
        <v>0</v>
      </c>
      <c r="L51" s="37">
        <v>0</v>
      </c>
    </row>
    <row r="52" spans="4:12" hidden="1" outlineLevel="1" x14ac:dyDescent="0.3">
      <c r="D52" s="16" t="s">
        <v>45</v>
      </c>
      <c r="E52" s="16"/>
      <c r="F52" s="16"/>
      <c r="G52" s="16"/>
      <c r="H52" s="16"/>
      <c r="I52" s="37">
        <v>0</v>
      </c>
      <c r="J52" s="37">
        <v>0</v>
      </c>
      <c r="K52" s="37">
        <v>0</v>
      </c>
      <c r="L52" s="37">
        <v>0</v>
      </c>
    </row>
    <row r="53" spans="4:12" collapsed="1" x14ac:dyDescent="0.3">
      <c r="D53" s="16" t="s">
        <v>46</v>
      </c>
      <c r="E53" s="16"/>
      <c r="F53" s="16"/>
      <c r="G53" s="16"/>
      <c r="H53" s="16"/>
      <c r="I53" s="37">
        <v>94228324.520002559</v>
      </c>
      <c r="J53" s="37">
        <v>719700731.07000268</v>
      </c>
      <c r="K53" s="37">
        <v>233299232.75999841</v>
      </c>
      <c r="L53" s="37">
        <v>199035728.0300006</v>
      </c>
    </row>
    <row r="54" spans="4:12" hidden="1" outlineLevel="1" x14ac:dyDescent="0.3">
      <c r="D54" s="16" t="s">
        <v>47</v>
      </c>
      <c r="E54" s="16"/>
      <c r="F54" s="16"/>
      <c r="G54" s="16"/>
      <c r="H54" s="16"/>
      <c r="I54" s="37">
        <v>0</v>
      </c>
      <c r="J54" s="37">
        <v>0</v>
      </c>
      <c r="K54" s="37">
        <v>0</v>
      </c>
      <c r="L54" s="37">
        <v>0</v>
      </c>
    </row>
    <row r="55" spans="4:12" hidden="1" outlineLevel="1" x14ac:dyDescent="0.3">
      <c r="D55" s="16" t="s">
        <v>48</v>
      </c>
      <c r="E55" s="16"/>
      <c r="F55" s="16"/>
      <c r="G55" s="16"/>
      <c r="H55" s="16"/>
      <c r="I55" s="37">
        <v>0</v>
      </c>
      <c r="J55" s="37">
        <v>0</v>
      </c>
      <c r="K55" s="37">
        <v>0</v>
      </c>
      <c r="L55" s="37">
        <v>0</v>
      </c>
    </row>
    <row r="56" spans="4:12" hidden="1" outlineLevel="1" x14ac:dyDescent="0.3">
      <c r="D56" s="16" t="s">
        <v>49</v>
      </c>
      <c r="E56" s="16"/>
      <c r="F56" s="16"/>
      <c r="G56" s="16"/>
      <c r="H56" s="16"/>
      <c r="I56" s="37">
        <v>0</v>
      </c>
      <c r="J56" s="37">
        <v>0</v>
      </c>
      <c r="K56" s="37">
        <v>0</v>
      </c>
      <c r="L56" s="37">
        <v>0</v>
      </c>
    </row>
    <row r="57" spans="4:12" hidden="1" outlineLevel="1" x14ac:dyDescent="0.3">
      <c r="D57" s="16" t="s">
        <v>50</v>
      </c>
      <c r="E57" s="16"/>
      <c r="F57" s="16"/>
      <c r="G57" s="16"/>
      <c r="H57" s="16"/>
      <c r="I57" s="37">
        <v>0</v>
      </c>
      <c r="J57" s="37">
        <v>0</v>
      </c>
      <c r="K57" s="37">
        <v>0</v>
      </c>
      <c r="L57" s="37">
        <v>0</v>
      </c>
    </row>
    <row r="58" spans="4:12" hidden="1" outlineLevel="1" x14ac:dyDescent="0.3">
      <c r="D58" s="16" t="s">
        <v>51</v>
      </c>
      <c r="E58" s="16"/>
      <c r="F58" s="16"/>
      <c r="G58" s="16"/>
      <c r="H58" s="16"/>
      <c r="I58" s="37">
        <v>0</v>
      </c>
      <c r="J58" s="37">
        <v>0</v>
      </c>
      <c r="K58" s="37">
        <v>0</v>
      </c>
      <c r="L58" s="37">
        <v>0</v>
      </c>
    </row>
    <row r="59" spans="4:12" hidden="1" outlineLevel="1" x14ac:dyDescent="0.3">
      <c r="D59" s="16" t="s">
        <v>52</v>
      </c>
      <c r="E59" s="16"/>
      <c r="F59" s="16"/>
      <c r="G59" s="16"/>
      <c r="H59" s="16"/>
      <c r="I59" s="37">
        <v>0</v>
      </c>
      <c r="J59" s="37">
        <v>0</v>
      </c>
      <c r="K59" s="37">
        <v>0</v>
      </c>
      <c r="L59" s="37">
        <v>0</v>
      </c>
    </row>
    <row r="60" spans="4:12" hidden="1" outlineLevel="1" x14ac:dyDescent="0.3">
      <c r="D60" s="16" t="s">
        <v>53</v>
      </c>
      <c r="E60" s="16"/>
      <c r="F60" s="16"/>
      <c r="G60" s="16"/>
      <c r="H60" s="16"/>
      <c r="I60" s="37">
        <v>0</v>
      </c>
      <c r="J60" s="37">
        <v>0</v>
      </c>
      <c r="K60" s="37">
        <v>0</v>
      </c>
      <c r="L60" s="37">
        <v>0</v>
      </c>
    </row>
    <row r="61" spans="4:12" collapsed="1" x14ac:dyDescent="0.3">
      <c r="D61" s="16" t="s">
        <v>54</v>
      </c>
      <c r="E61" s="16"/>
      <c r="F61" s="16"/>
      <c r="G61" s="16"/>
      <c r="H61" s="16"/>
      <c r="I61" s="37">
        <v>1245139764.7676899</v>
      </c>
      <c r="J61" s="37">
        <v>2036003278.9981699</v>
      </c>
      <c r="K61" s="37">
        <v>1472013088.9761636</v>
      </c>
      <c r="L61" s="37">
        <v>614928927.08496583</v>
      </c>
    </row>
    <row r="62" spans="4:12" hidden="1" outlineLevel="1" x14ac:dyDescent="0.3">
      <c r="D62" s="16" t="s">
        <v>55</v>
      </c>
      <c r="E62" s="16"/>
      <c r="F62" s="16"/>
      <c r="G62" s="16"/>
      <c r="H62" s="16"/>
      <c r="I62" s="37">
        <v>0</v>
      </c>
      <c r="J62" s="37">
        <v>0</v>
      </c>
      <c r="K62" s="37">
        <v>0</v>
      </c>
      <c r="L62" s="37">
        <v>0</v>
      </c>
    </row>
    <row r="63" spans="4:12" hidden="1" outlineLevel="1" x14ac:dyDescent="0.3">
      <c r="D63" s="16" t="s">
        <v>56</v>
      </c>
      <c r="E63" s="16"/>
      <c r="F63" s="16"/>
      <c r="G63" s="16"/>
      <c r="H63" s="16"/>
      <c r="I63" s="37">
        <v>0</v>
      </c>
      <c r="J63" s="37">
        <v>0</v>
      </c>
      <c r="K63" s="37">
        <v>0</v>
      </c>
      <c r="L63" s="37">
        <v>0</v>
      </c>
    </row>
    <row r="64" spans="4:12" hidden="1" outlineLevel="1" x14ac:dyDescent="0.3">
      <c r="D64" s="16" t="s">
        <v>57</v>
      </c>
      <c r="E64" s="16"/>
      <c r="F64" s="16"/>
      <c r="G64" s="16"/>
      <c r="H64" s="16"/>
      <c r="I64" s="37">
        <v>0</v>
      </c>
      <c r="J64" s="37">
        <v>0</v>
      </c>
      <c r="K64" s="37">
        <v>0</v>
      </c>
      <c r="L64" s="37">
        <v>0</v>
      </c>
    </row>
    <row r="65" spans="4:12" hidden="1" outlineLevel="1" x14ac:dyDescent="0.3">
      <c r="D65" s="16" t="s">
        <v>58</v>
      </c>
      <c r="E65" s="16"/>
      <c r="F65" s="16"/>
      <c r="G65" s="16"/>
      <c r="H65" s="16"/>
      <c r="I65" s="37">
        <v>0</v>
      </c>
      <c r="J65" s="37">
        <v>0</v>
      </c>
      <c r="K65" s="37">
        <v>0</v>
      </c>
      <c r="L65" s="37">
        <v>0</v>
      </c>
    </row>
    <row r="66" spans="4:12" collapsed="1" x14ac:dyDescent="0.3">
      <c r="D66" s="16" t="s">
        <v>59</v>
      </c>
      <c r="E66" s="16"/>
      <c r="F66" s="16"/>
      <c r="G66" s="16"/>
      <c r="H66" s="16"/>
      <c r="I66" s="37">
        <v>1092132238.2381248</v>
      </c>
      <c r="J66" s="37">
        <v>1614585981.0089502</v>
      </c>
      <c r="K66" s="37">
        <v>1501776768.6604426</v>
      </c>
      <c r="L66" s="37">
        <v>1615311080.3556349</v>
      </c>
    </row>
    <row r="67" spans="4:12" hidden="1" outlineLevel="1" x14ac:dyDescent="0.3">
      <c r="D67" s="16" t="s">
        <v>60</v>
      </c>
      <c r="E67" s="16"/>
      <c r="F67" s="16"/>
      <c r="G67" s="16"/>
      <c r="H67" s="16"/>
      <c r="I67" s="37">
        <v>0</v>
      </c>
      <c r="J67" s="37">
        <v>0</v>
      </c>
      <c r="K67" s="37">
        <v>0</v>
      </c>
      <c r="L67" s="37">
        <v>0</v>
      </c>
    </row>
    <row r="68" spans="4:12" hidden="1" outlineLevel="1" x14ac:dyDescent="0.3">
      <c r="D68" s="16" t="s">
        <v>61</v>
      </c>
      <c r="E68" s="16"/>
      <c r="F68" s="16"/>
      <c r="G68" s="16"/>
      <c r="H68" s="16"/>
      <c r="I68" s="37">
        <v>0</v>
      </c>
      <c r="J68" s="37">
        <v>0</v>
      </c>
      <c r="K68" s="37">
        <v>0</v>
      </c>
      <c r="L68" s="37">
        <v>0</v>
      </c>
    </row>
    <row r="69" spans="4:12" hidden="1" outlineLevel="1" x14ac:dyDescent="0.3">
      <c r="D69" s="16" t="s">
        <v>62</v>
      </c>
      <c r="E69" s="16"/>
      <c r="F69" s="16"/>
      <c r="G69" s="16"/>
      <c r="H69" s="16"/>
      <c r="I69" s="37">
        <v>0</v>
      </c>
      <c r="J69" s="37">
        <v>0</v>
      </c>
      <c r="K69" s="37">
        <v>0</v>
      </c>
      <c r="L69" s="37">
        <v>0</v>
      </c>
    </row>
    <row r="70" spans="4:12" collapsed="1" x14ac:dyDescent="0.3">
      <c r="D70" s="16" t="s">
        <v>62</v>
      </c>
      <c r="E70" s="16"/>
      <c r="F70" s="16"/>
      <c r="G70" s="16"/>
      <c r="H70" s="16"/>
      <c r="I70" s="37">
        <v>269818016.94171047</v>
      </c>
      <c r="J70" s="37">
        <v>0</v>
      </c>
      <c r="K70" s="37">
        <v>0</v>
      </c>
      <c r="L70" s="37">
        <v>0</v>
      </c>
    </row>
    <row r="71" spans="4:12" ht="14" x14ac:dyDescent="0.4">
      <c r="D71" s="16" t="s">
        <v>44</v>
      </c>
      <c r="E71" s="16"/>
      <c r="F71" s="16"/>
      <c r="G71" s="16"/>
      <c r="H71" s="16"/>
      <c r="I71" s="38">
        <v>0</v>
      </c>
      <c r="J71" s="38">
        <v>0</v>
      </c>
      <c r="K71" s="37">
        <v>0</v>
      </c>
      <c r="L71" s="37">
        <v>0</v>
      </c>
    </row>
    <row r="72" spans="4:12" hidden="1" outlineLevel="1" x14ac:dyDescent="0.3">
      <c r="D72" s="16" t="s">
        <v>63</v>
      </c>
      <c r="E72" s="16"/>
      <c r="F72" s="16"/>
      <c r="G72" s="16"/>
      <c r="H72" s="16"/>
      <c r="I72" s="37">
        <v>0</v>
      </c>
      <c r="J72" s="37">
        <v>0</v>
      </c>
      <c r="K72" s="37">
        <v>0</v>
      </c>
      <c r="L72" s="37">
        <v>0</v>
      </c>
    </row>
    <row r="73" spans="4:12" hidden="1" outlineLevel="1" x14ac:dyDescent="0.3">
      <c r="D73" s="16" t="s">
        <v>64</v>
      </c>
      <c r="E73" s="16"/>
      <c r="F73" s="16"/>
      <c r="G73" s="16"/>
      <c r="H73" s="16"/>
      <c r="I73" s="37">
        <v>0</v>
      </c>
      <c r="J73" s="37">
        <v>0</v>
      </c>
      <c r="K73" s="37">
        <v>0</v>
      </c>
      <c r="L73" s="37">
        <v>0</v>
      </c>
    </row>
    <row r="74" spans="4:12" hidden="1" outlineLevel="1" x14ac:dyDescent="0.3">
      <c r="D74" s="16" t="s">
        <v>65</v>
      </c>
      <c r="E74" s="16"/>
      <c r="F74" s="16"/>
      <c r="G74" s="16"/>
      <c r="H74" s="16"/>
      <c r="I74" s="37">
        <v>0</v>
      </c>
      <c r="J74" s="37">
        <v>0</v>
      </c>
      <c r="K74" s="37">
        <v>0</v>
      </c>
      <c r="L74" s="37">
        <v>0</v>
      </c>
    </row>
    <row r="75" spans="4:12" hidden="1" outlineLevel="1" x14ac:dyDescent="0.3">
      <c r="D75" s="16" t="s">
        <v>66</v>
      </c>
      <c r="E75" s="16"/>
      <c r="F75" s="16"/>
      <c r="G75" s="16"/>
      <c r="H75" s="16"/>
      <c r="I75" s="37">
        <v>0</v>
      </c>
      <c r="J75" s="37">
        <v>0</v>
      </c>
      <c r="K75" s="37">
        <v>0</v>
      </c>
      <c r="L75" s="37">
        <v>0</v>
      </c>
    </row>
    <row r="76" spans="4:12" hidden="1" outlineLevel="1" x14ac:dyDescent="0.3">
      <c r="D76" s="16" t="s">
        <v>67</v>
      </c>
      <c r="E76" s="16"/>
      <c r="F76" s="16"/>
      <c r="G76" s="16"/>
      <c r="H76" s="16"/>
      <c r="I76" s="37">
        <v>0</v>
      </c>
      <c r="J76" s="37">
        <v>0</v>
      </c>
      <c r="K76" s="37">
        <v>0</v>
      </c>
      <c r="L76" s="37">
        <v>0</v>
      </c>
    </row>
    <row r="77" spans="4:12" hidden="1" outlineLevel="1" x14ac:dyDescent="0.3">
      <c r="D77" s="16" t="s">
        <v>68</v>
      </c>
      <c r="E77" s="16"/>
      <c r="F77" s="16"/>
      <c r="G77" s="16"/>
      <c r="H77" s="16"/>
      <c r="I77" s="37">
        <v>0</v>
      </c>
      <c r="J77" s="37">
        <v>0</v>
      </c>
      <c r="K77" s="37">
        <v>0</v>
      </c>
      <c r="L77" s="37">
        <v>0</v>
      </c>
    </row>
    <row r="78" spans="4:12" hidden="1" outlineLevel="1" x14ac:dyDescent="0.3">
      <c r="D78" s="16" t="s">
        <v>67</v>
      </c>
      <c r="E78" s="16"/>
      <c r="F78" s="16"/>
      <c r="G78" s="16"/>
      <c r="H78" s="16"/>
      <c r="I78" s="37">
        <v>0</v>
      </c>
      <c r="J78" s="37">
        <v>0</v>
      </c>
      <c r="K78" s="37">
        <v>0</v>
      </c>
      <c r="L78" s="37">
        <v>0</v>
      </c>
    </row>
    <row r="79" spans="4:12" hidden="1" outlineLevel="1" x14ac:dyDescent="0.3">
      <c r="D79" s="16" t="s">
        <v>69</v>
      </c>
      <c r="E79" s="16"/>
      <c r="F79" s="16"/>
      <c r="G79" s="16"/>
      <c r="H79" s="16"/>
      <c r="I79" s="37">
        <v>0</v>
      </c>
      <c r="J79" s="37">
        <v>0</v>
      </c>
      <c r="K79" s="37">
        <v>0</v>
      </c>
      <c r="L79" s="37">
        <v>0</v>
      </c>
    </row>
    <row r="80" spans="4:12" hidden="1" outlineLevel="1" x14ac:dyDescent="0.3">
      <c r="D80" s="16" t="s">
        <v>67</v>
      </c>
      <c r="E80" s="16"/>
      <c r="F80" s="16"/>
      <c r="G80" s="16"/>
      <c r="H80" s="16"/>
      <c r="I80" s="37">
        <v>0</v>
      </c>
      <c r="J80" s="37">
        <v>0</v>
      </c>
      <c r="K80" s="37">
        <v>0</v>
      </c>
      <c r="L80" s="37">
        <v>0</v>
      </c>
    </row>
    <row r="81" spans="4:12" hidden="1" outlineLevel="1" x14ac:dyDescent="0.3">
      <c r="D81" s="16" t="s">
        <v>70</v>
      </c>
      <c r="E81" s="16"/>
      <c r="F81" s="16"/>
      <c r="G81" s="16"/>
      <c r="H81" s="16"/>
      <c r="I81" s="37">
        <v>0</v>
      </c>
      <c r="J81" s="37">
        <v>0</v>
      </c>
      <c r="K81" s="37">
        <v>0</v>
      </c>
      <c r="L81" s="37">
        <v>0</v>
      </c>
    </row>
    <row r="82" spans="4:12" hidden="1" outlineLevel="1" x14ac:dyDescent="0.3">
      <c r="D82" s="16" t="s">
        <v>67</v>
      </c>
      <c r="E82" s="16"/>
      <c r="F82" s="16"/>
      <c r="G82" s="16"/>
      <c r="H82" s="16"/>
      <c r="I82" s="37">
        <v>0</v>
      </c>
      <c r="J82" s="37">
        <v>0</v>
      </c>
      <c r="K82" s="37">
        <v>0</v>
      </c>
      <c r="L82" s="37">
        <v>0</v>
      </c>
    </row>
    <row r="83" spans="4:12" hidden="1" outlineLevel="1" x14ac:dyDescent="0.3">
      <c r="D83" s="16" t="s">
        <v>71</v>
      </c>
      <c r="E83" s="16"/>
      <c r="F83" s="16"/>
      <c r="G83" s="16"/>
      <c r="H83" s="16"/>
      <c r="I83" s="37">
        <v>0</v>
      </c>
      <c r="J83" s="37">
        <v>0</v>
      </c>
      <c r="K83" s="37">
        <v>0</v>
      </c>
      <c r="L83" s="37">
        <v>0</v>
      </c>
    </row>
    <row r="84" spans="4:12" hidden="1" outlineLevel="1" x14ac:dyDescent="0.3">
      <c r="D84" s="16" t="s">
        <v>72</v>
      </c>
      <c r="E84" s="16"/>
      <c r="F84" s="16"/>
      <c r="G84" s="16"/>
      <c r="H84" s="16"/>
      <c r="I84" s="37">
        <v>0</v>
      </c>
      <c r="J84" s="37">
        <v>0</v>
      </c>
      <c r="K84" s="37">
        <v>0</v>
      </c>
      <c r="L84" s="37">
        <v>0</v>
      </c>
    </row>
    <row r="85" spans="4:12" collapsed="1" x14ac:dyDescent="0.3">
      <c r="D85" s="16" t="s">
        <v>73</v>
      </c>
      <c r="E85" s="16"/>
      <c r="F85" s="16"/>
      <c r="G85" s="16"/>
      <c r="H85" s="16"/>
      <c r="I85" s="37">
        <v>842838630.71000016</v>
      </c>
      <c r="J85" s="37">
        <v>1036638081.6900002</v>
      </c>
      <c r="K85" s="37">
        <v>1033424785.7572002</v>
      </c>
      <c r="L85" s="37">
        <v>1072378783.3672003</v>
      </c>
    </row>
    <row r="86" spans="4:12" hidden="1" outlineLevel="1" x14ac:dyDescent="0.3">
      <c r="D86" s="16" t="s">
        <v>74</v>
      </c>
      <c r="E86" s="16"/>
      <c r="F86" s="16"/>
      <c r="G86" s="16"/>
      <c r="H86" s="16"/>
      <c r="I86" s="37">
        <v>0</v>
      </c>
      <c r="J86" s="37">
        <v>0</v>
      </c>
      <c r="K86" s="37">
        <v>0</v>
      </c>
      <c r="L86" s="37">
        <v>0</v>
      </c>
    </row>
    <row r="87" spans="4:12" hidden="1" outlineLevel="1" x14ac:dyDescent="0.3">
      <c r="D87" s="16" t="s">
        <v>75</v>
      </c>
      <c r="E87" s="16"/>
      <c r="F87" s="16"/>
      <c r="G87" s="16"/>
      <c r="H87" s="16"/>
      <c r="I87" s="37">
        <v>0</v>
      </c>
      <c r="J87" s="37">
        <v>0</v>
      </c>
      <c r="K87" s="37">
        <v>0</v>
      </c>
      <c r="L87" s="37">
        <v>0</v>
      </c>
    </row>
    <row r="88" spans="4:12" hidden="1" outlineLevel="1" x14ac:dyDescent="0.3">
      <c r="D88" s="16" t="s">
        <v>76</v>
      </c>
      <c r="E88" s="16"/>
      <c r="F88" s="16"/>
      <c r="G88" s="16"/>
      <c r="H88" s="16"/>
      <c r="I88" s="37">
        <v>0</v>
      </c>
      <c r="J88" s="37">
        <v>0</v>
      </c>
      <c r="K88" s="37">
        <v>0</v>
      </c>
      <c r="L88" s="37">
        <v>0</v>
      </c>
    </row>
    <row r="89" spans="4:12" hidden="1" outlineLevel="1" x14ac:dyDescent="0.3">
      <c r="D89" s="16" t="s">
        <v>77</v>
      </c>
      <c r="E89" s="16"/>
      <c r="F89" s="16"/>
      <c r="G89" s="16"/>
      <c r="H89" s="16"/>
      <c r="I89" s="37">
        <v>0</v>
      </c>
      <c r="J89" s="37">
        <v>0</v>
      </c>
      <c r="K89" s="37">
        <v>0</v>
      </c>
      <c r="L89" s="37">
        <v>0</v>
      </c>
    </row>
    <row r="90" spans="4:12" hidden="1" outlineLevel="1" x14ac:dyDescent="0.3">
      <c r="D90" s="16" t="s">
        <v>78</v>
      </c>
      <c r="E90" s="16"/>
      <c r="F90" s="16"/>
      <c r="G90" s="16"/>
      <c r="H90" s="16"/>
      <c r="I90" s="37">
        <v>0</v>
      </c>
      <c r="J90" s="37">
        <v>0</v>
      </c>
      <c r="K90" s="37">
        <v>0</v>
      </c>
      <c r="L90" s="37">
        <v>0</v>
      </c>
    </row>
    <row r="91" spans="4:12" hidden="1" outlineLevel="1" x14ac:dyDescent="0.3">
      <c r="D91" s="16" t="s">
        <v>79</v>
      </c>
      <c r="E91" s="16"/>
      <c r="F91" s="16"/>
      <c r="G91" s="16"/>
      <c r="H91" s="16"/>
      <c r="I91" s="37">
        <v>0</v>
      </c>
      <c r="J91" s="37">
        <v>0</v>
      </c>
      <c r="K91" s="37">
        <v>0</v>
      </c>
      <c r="L91" s="37">
        <v>0</v>
      </c>
    </row>
    <row r="92" spans="4:12" collapsed="1" x14ac:dyDescent="0.3">
      <c r="D92" s="16" t="s">
        <v>74</v>
      </c>
      <c r="E92" s="16"/>
      <c r="F92" s="16"/>
      <c r="G92" s="16"/>
      <c r="H92" s="16"/>
      <c r="I92" s="37">
        <v>3353320</v>
      </c>
      <c r="J92" s="37">
        <v>2654712</v>
      </c>
      <c r="K92" s="18">
        <f>K96-SUM(K53:K85)</f>
        <v>284358356.89928722</v>
      </c>
      <c r="L92" s="18">
        <f>L96-SUM(L53:L85)</f>
        <v>231823892.46811008</v>
      </c>
    </row>
    <row r="93" spans="4:12" x14ac:dyDescent="0.3">
      <c r="D93" s="16" t="s">
        <v>80</v>
      </c>
      <c r="E93" s="16"/>
      <c r="F93" s="16"/>
      <c r="G93" s="16"/>
      <c r="H93" s="16"/>
      <c r="I93" s="37">
        <v>0</v>
      </c>
      <c r="J93" s="37">
        <v>0</v>
      </c>
      <c r="K93" s="37">
        <v>0</v>
      </c>
      <c r="L93" s="37">
        <v>0</v>
      </c>
    </row>
    <row r="94" spans="4:12" x14ac:dyDescent="0.3">
      <c r="D94" s="16" t="s">
        <v>81</v>
      </c>
      <c r="E94" s="16"/>
      <c r="F94" s="16"/>
      <c r="G94" s="16"/>
      <c r="H94" s="16"/>
      <c r="I94" s="37">
        <v>0</v>
      </c>
      <c r="J94" s="37">
        <v>0</v>
      </c>
      <c r="K94" s="37">
        <v>0</v>
      </c>
      <c r="L94" s="37">
        <v>0</v>
      </c>
    </row>
    <row r="95" spans="4:12" ht="14" x14ac:dyDescent="0.4">
      <c r="D95" s="16" t="s">
        <v>63</v>
      </c>
      <c r="E95" s="16"/>
      <c r="F95" s="16"/>
      <c r="G95" s="16"/>
      <c r="H95" s="16"/>
      <c r="I95" s="38">
        <v>846191950.71000016</v>
      </c>
      <c r="J95" s="38">
        <v>1039292793.6900002</v>
      </c>
      <c r="K95" s="37">
        <v>0</v>
      </c>
      <c r="L95" s="37">
        <v>0</v>
      </c>
    </row>
    <row r="96" spans="4:12" ht="13.5" thickBot="1" x14ac:dyDescent="0.35">
      <c r="D96" s="23" t="s">
        <v>82</v>
      </c>
      <c r="E96" s="23"/>
      <c r="F96" s="23"/>
      <c r="G96" s="23"/>
      <c r="H96" s="23"/>
      <c r="I96" s="39">
        <v>3547510295.1775279</v>
      </c>
      <c r="J96" s="39">
        <v>5409582784.7671232</v>
      </c>
      <c r="K96" s="39">
        <v>4524872233.053092</v>
      </c>
      <c r="L96" s="39">
        <v>3733478411.3059115</v>
      </c>
    </row>
    <row r="97" spans="4:12" ht="13.5" thickTop="1" x14ac:dyDescent="0.3">
      <c r="D97" s="16" t="s">
        <v>83</v>
      </c>
      <c r="E97" s="16"/>
      <c r="F97" s="16"/>
      <c r="G97" s="16"/>
      <c r="H97" s="16"/>
      <c r="I97" s="37">
        <v>0</v>
      </c>
      <c r="J97" s="37">
        <v>0</v>
      </c>
      <c r="K97" s="37">
        <v>0</v>
      </c>
      <c r="L97" s="37">
        <v>0</v>
      </c>
    </row>
    <row r="98" spans="4:12" hidden="1" outlineLevel="1" x14ac:dyDescent="0.3">
      <c r="D98" s="16" t="s">
        <v>84</v>
      </c>
      <c r="E98" s="16"/>
      <c r="F98" s="16"/>
      <c r="G98" s="16"/>
      <c r="H98" s="16"/>
      <c r="I98" s="37">
        <v>0</v>
      </c>
      <c r="J98" s="37">
        <v>0</v>
      </c>
      <c r="K98" s="37">
        <v>0</v>
      </c>
      <c r="L98" s="37">
        <v>0</v>
      </c>
    </row>
    <row r="99" spans="4:12" hidden="1" outlineLevel="1" x14ac:dyDescent="0.3">
      <c r="D99" s="16" t="s">
        <v>85</v>
      </c>
      <c r="E99" s="16"/>
      <c r="F99" s="16"/>
      <c r="G99" s="16"/>
      <c r="H99" s="16"/>
      <c r="I99" s="37">
        <v>0</v>
      </c>
      <c r="J99" s="37">
        <v>0</v>
      </c>
      <c r="K99" s="37">
        <v>0</v>
      </c>
      <c r="L99" s="37">
        <v>0</v>
      </c>
    </row>
    <row r="100" spans="4:12" hidden="1" outlineLevel="1" x14ac:dyDescent="0.3">
      <c r="D100" s="16" t="s">
        <v>86</v>
      </c>
      <c r="E100" s="16"/>
      <c r="F100" s="16"/>
      <c r="G100" s="16"/>
      <c r="H100" s="16"/>
      <c r="I100" s="37">
        <v>0</v>
      </c>
      <c r="J100" s="37">
        <v>0</v>
      </c>
      <c r="K100" s="37">
        <v>0</v>
      </c>
      <c r="L100" s="37">
        <v>0</v>
      </c>
    </row>
    <row r="101" spans="4:12" hidden="1" outlineLevel="1" x14ac:dyDescent="0.3">
      <c r="D101" s="16" t="s">
        <v>87</v>
      </c>
      <c r="E101" s="16"/>
      <c r="F101" s="16"/>
      <c r="G101" s="16"/>
      <c r="H101" s="16"/>
      <c r="I101" s="37">
        <v>0</v>
      </c>
      <c r="J101" s="37">
        <v>0</v>
      </c>
      <c r="K101" s="37">
        <v>0</v>
      </c>
      <c r="L101" s="37">
        <v>0</v>
      </c>
    </row>
    <row r="102" spans="4:12" hidden="1" outlineLevel="1" x14ac:dyDescent="0.3">
      <c r="D102" s="16" t="s">
        <v>88</v>
      </c>
      <c r="E102" s="16"/>
      <c r="F102" s="16"/>
      <c r="G102" s="16"/>
      <c r="H102" s="16"/>
      <c r="I102" s="37">
        <v>0</v>
      </c>
      <c r="J102" s="37">
        <v>0</v>
      </c>
      <c r="K102" s="37">
        <v>0</v>
      </c>
      <c r="L102" s="37">
        <v>0</v>
      </c>
    </row>
    <row r="103" spans="4:12" hidden="1" outlineLevel="1" x14ac:dyDescent="0.3">
      <c r="D103" s="16" t="s">
        <v>89</v>
      </c>
      <c r="E103" s="16"/>
      <c r="F103" s="16"/>
      <c r="G103" s="16"/>
      <c r="H103" s="16"/>
      <c r="I103" s="37">
        <v>0</v>
      </c>
      <c r="J103" s="37">
        <v>0</v>
      </c>
      <c r="K103" s="37">
        <v>0</v>
      </c>
      <c r="L103" s="37">
        <v>0</v>
      </c>
    </row>
    <row r="104" spans="4:12" hidden="1" outlineLevel="1" x14ac:dyDescent="0.3">
      <c r="D104" s="16" t="s">
        <v>90</v>
      </c>
      <c r="E104" s="16"/>
      <c r="F104" s="16"/>
      <c r="G104" s="16"/>
      <c r="H104" s="16"/>
      <c r="I104" s="37">
        <v>0</v>
      </c>
      <c r="J104" s="37">
        <v>0</v>
      </c>
      <c r="K104" s="37">
        <v>0</v>
      </c>
      <c r="L104" s="37">
        <v>0</v>
      </c>
    </row>
    <row r="105" spans="4:12" hidden="1" outlineLevel="1" x14ac:dyDescent="0.3">
      <c r="D105" s="16" t="s">
        <v>91</v>
      </c>
      <c r="E105" s="16"/>
      <c r="F105" s="16"/>
      <c r="G105" s="16"/>
      <c r="H105" s="16"/>
      <c r="I105" s="37">
        <v>0</v>
      </c>
      <c r="J105" s="37">
        <v>0</v>
      </c>
      <c r="K105" s="37">
        <v>0</v>
      </c>
      <c r="L105" s="37">
        <v>0</v>
      </c>
    </row>
    <row r="106" spans="4:12" hidden="1" outlineLevel="1" x14ac:dyDescent="0.3">
      <c r="D106" s="16" t="s">
        <v>92</v>
      </c>
      <c r="E106" s="16"/>
      <c r="F106" s="16"/>
      <c r="G106" s="16"/>
      <c r="H106" s="16"/>
      <c r="I106" s="37">
        <v>0</v>
      </c>
      <c r="J106" s="37">
        <v>0</v>
      </c>
      <c r="K106" s="37">
        <v>0</v>
      </c>
      <c r="L106" s="37">
        <v>0</v>
      </c>
    </row>
    <row r="107" spans="4:12" hidden="1" outlineLevel="1" x14ac:dyDescent="0.3">
      <c r="D107" s="16" t="s">
        <v>93</v>
      </c>
      <c r="E107" s="16"/>
      <c r="F107" s="16"/>
      <c r="G107" s="16"/>
      <c r="H107" s="16"/>
      <c r="I107" s="37">
        <v>0</v>
      </c>
      <c r="J107" s="37">
        <v>0</v>
      </c>
      <c r="K107" s="37">
        <v>0</v>
      </c>
      <c r="L107" s="37">
        <v>0</v>
      </c>
    </row>
    <row r="108" spans="4:12" hidden="1" outlineLevel="1" x14ac:dyDescent="0.3">
      <c r="D108" s="16" t="s">
        <v>94</v>
      </c>
      <c r="E108" s="16"/>
      <c r="F108" s="16"/>
      <c r="G108" s="16"/>
      <c r="H108" s="16"/>
      <c r="I108" s="37">
        <v>0</v>
      </c>
      <c r="J108" s="37">
        <v>0</v>
      </c>
      <c r="K108" s="37">
        <v>0</v>
      </c>
      <c r="L108" s="37">
        <v>0</v>
      </c>
    </row>
    <row r="109" spans="4:12" hidden="1" outlineLevel="1" x14ac:dyDescent="0.3">
      <c r="D109" s="16" t="s">
        <v>95</v>
      </c>
      <c r="E109" s="16"/>
      <c r="F109" s="16"/>
      <c r="G109" s="16"/>
      <c r="H109" s="16"/>
      <c r="I109" s="37">
        <v>0</v>
      </c>
      <c r="J109" s="37">
        <v>0</v>
      </c>
      <c r="K109" s="37">
        <v>0</v>
      </c>
      <c r="L109" s="37">
        <v>0</v>
      </c>
    </row>
    <row r="110" spans="4:12" hidden="1" outlineLevel="1" x14ac:dyDescent="0.3">
      <c r="D110" s="16" t="s">
        <v>96</v>
      </c>
      <c r="E110" s="16"/>
      <c r="F110" s="16"/>
      <c r="G110" s="16"/>
      <c r="H110" s="16"/>
      <c r="I110" s="37">
        <v>0</v>
      </c>
      <c r="J110" s="37">
        <v>0</v>
      </c>
      <c r="K110" s="37">
        <v>0</v>
      </c>
      <c r="L110" s="37">
        <v>0</v>
      </c>
    </row>
    <row r="111" spans="4:12" ht="14" collapsed="1" x14ac:dyDescent="0.4">
      <c r="D111" s="16" t="s">
        <v>97</v>
      </c>
      <c r="E111" s="16"/>
      <c r="F111" s="16"/>
      <c r="G111" s="16"/>
      <c r="H111" s="16"/>
      <c r="I111" s="37">
        <v>101889663.13999955</v>
      </c>
      <c r="J111" s="38">
        <v>1359540294.2482896</v>
      </c>
      <c r="K111" s="37">
        <v>527344669.43099964</v>
      </c>
      <c r="L111" s="37">
        <v>721332675.64099979</v>
      </c>
    </row>
    <row r="112" spans="4:12" hidden="1" outlineLevel="1" x14ac:dyDescent="0.3">
      <c r="D112" s="16" t="s">
        <v>98</v>
      </c>
      <c r="E112" s="16"/>
      <c r="F112" s="16"/>
      <c r="G112" s="16"/>
      <c r="H112" s="16"/>
      <c r="I112" s="37">
        <v>0</v>
      </c>
      <c r="J112" s="37">
        <v>0</v>
      </c>
      <c r="K112" s="37">
        <v>0</v>
      </c>
      <c r="L112" s="37">
        <v>0</v>
      </c>
    </row>
    <row r="113" spans="4:12" hidden="1" outlineLevel="1" x14ac:dyDescent="0.3">
      <c r="D113" s="16" t="s">
        <v>99</v>
      </c>
      <c r="E113" s="16"/>
      <c r="F113" s="16"/>
      <c r="G113" s="16"/>
      <c r="H113" s="16"/>
      <c r="I113" s="37">
        <v>0</v>
      </c>
      <c r="J113" s="37">
        <v>0</v>
      </c>
      <c r="K113" s="37">
        <v>0</v>
      </c>
      <c r="L113" s="37">
        <v>0</v>
      </c>
    </row>
    <row r="114" spans="4:12" hidden="1" outlineLevel="1" x14ac:dyDescent="0.3">
      <c r="D114" s="16" t="s">
        <v>100</v>
      </c>
      <c r="E114" s="16"/>
      <c r="F114" s="16"/>
      <c r="G114" s="16"/>
      <c r="H114" s="16"/>
      <c r="I114" s="37">
        <v>0</v>
      </c>
      <c r="J114" s="37">
        <v>0</v>
      </c>
      <c r="K114" s="37">
        <v>0</v>
      </c>
      <c r="L114" s="37">
        <v>0</v>
      </c>
    </row>
    <row r="115" spans="4:12" hidden="1" outlineLevel="1" x14ac:dyDescent="0.3">
      <c r="D115" s="16" t="s">
        <v>101</v>
      </c>
      <c r="E115" s="16"/>
      <c r="F115" s="16"/>
      <c r="G115" s="16"/>
      <c r="H115" s="16"/>
      <c r="I115" s="37">
        <v>0</v>
      </c>
      <c r="J115" s="37">
        <v>0</v>
      </c>
      <c r="K115" s="37">
        <v>0</v>
      </c>
      <c r="L115" s="37">
        <v>0</v>
      </c>
    </row>
    <row r="116" spans="4:12" hidden="1" outlineLevel="1" x14ac:dyDescent="0.3">
      <c r="D116" s="16" t="s">
        <v>102</v>
      </c>
      <c r="E116" s="16"/>
      <c r="F116" s="16"/>
      <c r="G116" s="16"/>
      <c r="H116" s="16"/>
      <c r="I116" s="37">
        <v>0</v>
      </c>
      <c r="J116" s="37">
        <v>0</v>
      </c>
      <c r="K116" s="37">
        <v>0</v>
      </c>
      <c r="L116" s="37">
        <v>0</v>
      </c>
    </row>
    <row r="117" spans="4:12" ht="14" collapsed="1" x14ac:dyDescent="0.4">
      <c r="D117" s="16" t="s">
        <v>98</v>
      </c>
      <c r="E117" s="16"/>
      <c r="F117" s="16"/>
      <c r="G117" s="16"/>
      <c r="H117" s="16"/>
      <c r="I117" s="37">
        <v>254897875.70999998</v>
      </c>
      <c r="J117" s="38">
        <v>254897875.70999998</v>
      </c>
      <c r="K117" s="37">
        <v>0</v>
      </c>
      <c r="L117" s="37">
        <v>0</v>
      </c>
    </row>
    <row r="118" spans="4:12" ht="14" x14ac:dyDescent="0.4">
      <c r="D118" s="16" t="s">
        <v>103</v>
      </c>
      <c r="E118" s="16"/>
      <c r="F118" s="16"/>
      <c r="G118" s="16"/>
      <c r="H118" s="16"/>
      <c r="I118" s="38">
        <v>356787538.84999955</v>
      </c>
      <c r="J118" s="37">
        <v>1614438169.9582896</v>
      </c>
      <c r="K118" s="37">
        <v>527344669.43099976</v>
      </c>
      <c r="L118" s="37">
        <v>721332675.64099979</v>
      </c>
    </row>
    <row r="119" spans="4:12" hidden="1" outlineLevel="1" x14ac:dyDescent="0.3">
      <c r="D119" s="16" t="s">
        <v>104</v>
      </c>
      <c r="E119" s="16"/>
      <c r="F119" s="16"/>
      <c r="G119" s="16"/>
      <c r="H119" s="16"/>
      <c r="I119" s="37">
        <v>0</v>
      </c>
      <c r="J119" s="37">
        <v>0</v>
      </c>
      <c r="K119" s="37">
        <v>0</v>
      </c>
      <c r="L119" s="37">
        <v>0</v>
      </c>
    </row>
    <row r="120" spans="4:12" hidden="1" outlineLevel="1" x14ac:dyDescent="0.3">
      <c r="D120" s="16" t="s">
        <v>105</v>
      </c>
      <c r="E120" s="16"/>
      <c r="F120" s="16"/>
      <c r="G120" s="16"/>
      <c r="H120" s="16"/>
      <c r="I120" s="37">
        <v>0</v>
      </c>
      <c r="J120" s="37">
        <v>0</v>
      </c>
      <c r="K120" s="37">
        <v>0</v>
      </c>
      <c r="L120" s="37">
        <v>0</v>
      </c>
    </row>
    <row r="121" spans="4:12" hidden="1" outlineLevel="1" x14ac:dyDescent="0.3">
      <c r="D121" s="16" t="s">
        <v>106</v>
      </c>
      <c r="E121" s="16"/>
      <c r="F121" s="16"/>
      <c r="G121" s="16"/>
      <c r="H121" s="16"/>
      <c r="I121" s="37">
        <v>0</v>
      </c>
      <c r="J121" s="37">
        <v>0</v>
      </c>
      <c r="K121" s="37">
        <v>0</v>
      </c>
      <c r="L121" s="37">
        <v>0</v>
      </c>
    </row>
    <row r="122" spans="4:12" collapsed="1" x14ac:dyDescent="0.3">
      <c r="D122" s="16" t="s">
        <v>107</v>
      </c>
      <c r="E122" s="16"/>
      <c r="F122" s="16"/>
      <c r="G122" s="16"/>
      <c r="H122" s="16"/>
      <c r="I122" s="37">
        <v>87801121.759999976</v>
      </c>
      <c r="J122" s="37">
        <v>87801121.759999976</v>
      </c>
      <c r="K122" s="37">
        <v>87801121.759999976</v>
      </c>
      <c r="L122" s="37">
        <v>87801121.759999976</v>
      </c>
    </row>
    <row r="123" spans="4:12" hidden="1" outlineLevel="1" x14ac:dyDescent="0.3">
      <c r="D123" s="16" t="s">
        <v>108</v>
      </c>
      <c r="E123" s="16"/>
      <c r="F123" s="16"/>
      <c r="G123" s="16"/>
      <c r="H123" s="16"/>
      <c r="I123" s="37">
        <v>0</v>
      </c>
      <c r="J123" s="37">
        <v>0</v>
      </c>
      <c r="K123" s="37">
        <v>0</v>
      </c>
      <c r="L123" s="37">
        <v>0</v>
      </c>
    </row>
    <row r="124" spans="4:12" hidden="1" outlineLevel="1" x14ac:dyDescent="0.3">
      <c r="D124" s="16" t="s">
        <v>109</v>
      </c>
      <c r="E124" s="16"/>
      <c r="F124" s="16"/>
      <c r="G124" s="16"/>
      <c r="H124" s="16"/>
      <c r="I124" s="37">
        <v>0</v>
      </c>
      <c r="J124" s="37">
        <v>0</v>
      </c>
      <c r="K124" s="37">
        <v>0</v>
      </c>
      <c r="L124" s="37">
        <v>0</v>
      </c>
    </row>
    <row r="125" spans="4:12" hidden="1" outlineLevel="1" x14ac:dyDescent="0.3">
      <c r="D125" s="16" t="s">
        <v>110</v>
      </c>
      <c r="E125" s="16"/>
      <c r="F125" s="16"/>
      <c r="G125" s="16"/>
      <c r="H125" s="16"/>
      <c r="I125" s="37">
        <v>0</v>
      </c>
      <c r="J125" s="37">
        <v>0</v>
      </c>
      <c r="K125" s="37">
        <v>0</v>
      </c>
      <c r="L125" s="37">
        <v>0</v>
      </c>
    </row>
    <row r="126" spans="4:12" hidden="1" outlineLevel="1" x14ac:dyDescent="0.3">
      <c r="D126" s="16" t="s">
        <v>111</v>
      </c>
      <c r="E126" s="16"/>
      <c r="F126" s="16"/>
      <c r="G126" s="16"/>
      <c r="H126" s="16"/>
      <c r="I126" s="37">
        <v>0</v>
      </c>
      <c r="J126" s="37">
        <v>0</v>
      </c>
      <c r="K126" s="37">
        <v>0</v>
      </c>
      <c r="L126" s="37">
        <v>0</v>
      </c>
    </row>
    <row r="127" spans="4:12" hidden="1" outlineLevel="1" x14ac:dyDescent="0.3">
      <c r="D127" s="16" t="s">
        <v>112</v>
      </c>
      <c r="E127" s="16"/>
      <c r="F127" s="16"/>
      <c r="G127" s="16"/>
      <c r="H127" s="16"/>
      <c r="I127" s="37">
        <v>0</v>
      </c>
      <c r="J127" s="37">
        <v>0</v>
      </c>
      <c r="K127" s="37">
        <v>0</v>
      </c>
      <c r="L127" s="37">
        <v>0</v>
      </c>
    </row>
    <row r="128" spans="4:12" hidden="1" outlineLevel="1" x14ac:dyDescent="0.3">
      <c r="D128" s="16" t="s">
        <v>113</v>
      </c>
      <c r="E128" s="16"/>
      <c r="F128" s="16"/>
      <c r="G128" s="16"/>
      <c r="H128" s="16"/>
      <c r="I128" s="37">
        <v>0</v>
      </c>
      <c r="J128" s="37">
        <v>0</v>
      </c>
      <c r="K128" s="37">
        <v>0</v>
      </c>
      <c r="L128" s="37">
        <v>0</v>
      </c>
    </row>
    <row r="129" spans="1:20" hidden="1" outlineLevel="1" x14ac:dyDescent="0.3">
      <c r="D129" s="16" t="s">
        <v>114</v>
      </c>
      <c r="E129" s="16"/>
      <c r="F129" s="16"/>
      <c r="G129" s="16"/>
      <c r="H129" s="16"/>
      <c r="I129" s="18"/>
      <c r="J129" s="37">
        <v>0</v>
      </c>
      <c r="K129" s="37">
        <v>0</v>
      </c>
      <c r="L129" s="37">
        <v>0</v>
      </c>
    </row>
    <row r="130" spans="1:20" collapsed="1" x14ac:dyDescent="0.3">
      <c r="D130" s="16" t="s">
        <v>115</v>
      </c>
      <c r="E130" s="16"/>
      <c r="F130" s="16"/>
      <c r="G130" s="16"/>
      <c r="H130" s="16"/>
      <c r="I130" s="37">
        <v>3102921634.5700002</v>
      </c>
      <c r="J130" s="37">
        <v>3707343493.0513115</v>
      </c>
      <c r="K130" s="37">
        <v>3909726441.8620925</v>
      </c>
      <c r="L130" s="37">
        <v>2924344613.9836721</v>
      </c>
    </row>
    <row r="131" spans="1:20" hidden="1" outlineLevel="1" x14ac:dyDescent="0.3">
      <c r="D131" s="16" t="s">
        <v>116</v>
      </c>
      <c r="E131" s="16"/>
      <c r="F131" s="16"/>
      <c r="G131" s="16"/>
      <c r="H131" s="16"/>
      <c r="I131" s="37">
        <v>0</v>
      </c>
      <c r="J131" s="37">
        <v>0</v>
      </c>
      <c r="K131" s="37">
        <v>0</v>
      </c>
      <c r="L131" s="37">
        <v>0</v>
      </c>
    </row>
    <row r="132" spans="1:20" hidden="1" outlineLevel="1" x14ac:dyDescent="0.3">
      <c r="D132" s="16" t="s">
        <v>117</v>
      </c>
      <c r="E132" s="16"/>
      <c r="F132" s="16"/>
      <c r="G132" s="16"/>
      <c r="H132" s="16"/>
      <c r="I132" s="37">
        <v>0</v>
      </c>
      <c r="J132" s="37">
        <v>0</v>
      </c>
      <c r="K132" s="37">
        <v>0</v>
      </c>
      <c r="L132" s="37">
        <v>0</v>
      </c>
    </row>
    <row r="133" spans="1:20" ht="14" collapsed="1" x14ac:dyDescent="0.4">
      <c r="D133" s="16" t="s">
        <v>107</v>
      </c>
      <c r="E133" s="16"/>
      <c r="F133" s="16"/>
      <c r="G133" s="16"/>
      <c r="H133" s="16"/>
      <c r="I133" s="20">
        <f>I96-I118</f>
        <v>3190722756.3275285</v>
      </c>
      <c r="J133" s="20">
        <f t="shared" ref="J133:L133" si="3">J96-J118</f>
        <v>3795144614.8088336</v>
      </c>
      <c r="K133" s="20">
        <f t="shared" si="3"/>
        <v>3997527563.6220922</v>
      </c>
      <c r="L133" s="20">
        <f t="shared" si="3"/>
        <v>3012145735.6649117</v>
      </c>
    </row>
    <row r="134" spans="1:20" ht="13.5" thickBot="1" x14ac:dyDescent="0.35">
      <c r="D134" s="23" t="s">
        <v>118</v>
      </c>
      <c r="E134" s="23"/>
      <c r="F134" s="23"/>
      <c r="G134" s="23"/>
      <c r="H134" s="23"/>
      <c r="I134" s="39">
        <v>3547510295.1799994</v>
      </c>
      <c r="J134" s="39">
        <v>5409582784.7696009</v>
      </c>
      <c r="K134" s="39">
        <v>4524872233.053092</v>
      </c>
      <c r="L134" s="39">
        <v>3733478411.3059115</v>
      </c>
    </row>
    <row r="135" spans="1:20" ht="13.5" thickTop="1" x14ac:dyDescent="0.3">
      <c r="D135" s="16"/>
      <c r="E135" s="16"/>
      <c r="F135" s="16"/>
      <c r="G135" s="16"/>
      <c r="H135" s="16"/>
      <c r="I135" s="21"/>
      <c r="J135" s="21"/>
      <c r="K135" s="21"/>
      <c r="L135" s="21"/>
    </row>
    <row r="136" spans="1:20" x14ac:dyDescent="0.3">
      <c r="D136" s="16" t="s">
        <v>120</v>
      </c>
      <c r="E136" s="16"/>
      <c r="F136" s="16"/>
      <c r="G136" s="16"/>
      <c r="H136" s="16"/>
      <c r="I136" s="21" t="b">
        <f>I134=I96</f>
        <v>0</v>
      </c>
      <c r="J136" s="21" t="b">
        <f t="shared" ref="J136:L136" si="4">J134=J96</f>
        <v>0</v>
      </c>
      <c r="K136" s="21" t="b">
        <f t="shared" si="4"/>
        <v>1</v>
      </c>
      <c r="L136" s="21" t="b">
        <f t="shared" si="4"/>
        <v>1</v>
      </c>
    </row>
    <row r="137" spans="1:20" x14ac:dyDescent="0.3">
      <c r="D137" s="16"/>
      <c r="E137" s="16"/>
      <c r="F137" s="16"/>
      <c r="G137" s="16"/>
      <c r="H137" s="16"/>
      <c r="I137" s="16"/>
      <c r="J137" s="16"/>
      <c r="K137" s="16"/>
      <c r="L137" s="16"/>
    </row>
    <row r="138" spans="1:20" x14ac:dyDescent="0.3">
      <c r="A138" s="7" t="s">
        <v>122</v>
      </c>
      <c r="D138" s="16"/>
      <c r="E138" s="17" t="s">
        <v>180</v>
      </c>
      <c r="F138" s="17" t="s">
        <v>178</v>
      </c>
      <c r="G138" s="17" t="s">
        <v>179</v>
      </c>
      <c r="H138" s="16" t="s">
        <v>183</v>
      </c>
      <c r="I138" s="16"/>
      <c r="J138" s="16"/>
      <c r="K138" s="16"/>
      <c r="L138" s="16"/>
    </row>
    <row r="139" spans="1:20" x14ac:dyDescent="0.3">
      <c r="B139" s="6" t="s">
        <v>123</v>
      </c>
      <c r="D139" s="16"/>
      <c r="E139" s="16"/>
      <c r="F139" s="16"/>
      <c r="G139" s="16"/>
      <c r="H139" s="16"/>
      <c r="I139" s="16"/>
      <c r="J139" s="16"/>
      <c r="K139" s="16"/>
      <c r="L139" s="16"/>
    </row>
    <row r="140" spans="1:20" x14ac:dyDescent="0.3">
      <c r="D140" s="16" t="s">
        <v>127</v>
      </c>
      <c r="E140" s="16"/>
      <c r="F140" s="16"/>
      <c r="G140" s="16"/>
      <c r="H140" s="16"/>
      <c r="I140" s="53">
        <f>IF(I3,I10)</f>
        <v>3784294503.7239799</v>
      </c>
      <c r="J140" s="53">
        <f t="shared" ref="J140:T140" si="5">IF(J3,J10)</f>
        <v>3884456768.0304799</v>
      </c>
      <c r="K140" s="53">
        <f t="shared" si="5"/>
        <v>5480846074.6269903</v>
      </c>
      <c r="L140" s="53">
        <f t="shared" si="5"/>
        <v>5100883000.1288099</v>
      </c>
      <c r="M140" s="53" t="b">
        <f t="shared" si="5"/>
        <v>0</v>
      </c>
      <c r="N140" s="53" t="b">
        <f t="shared" si="5"/>
        <v>0</v>
      </c>
      <c r="O140" s="53" t="b">
        <f t="shared" si="5"/>
        <v>0</v>
      </c>
      <c r="P140" s="53" t="b">
        <f t="shared" si="5"/>
        <v>0</v>
      </c>
      <c r="Q140" s="53" t="b">
        <f t="shared" si="5"/>
        <v>0</v>
      </c>
      <c r="R140" s="53" t="b">
        <f t="shared" si="5"/>
        <v>0</v>
      </c>
      <c r="S140" s="53" t="b">
        <f t="shared" si="5"/>
        <v>0</v>
      </c>
      <c r="T140" s="53" t="b">
        <f t="shared" si="5"/>
        <v>0</v>
      </c>
    </row>
    <row r="141" spans="1:20" x14ac:dyDescent="0.3">
      <c r="D141" s="16" t="s">
        <v>128</v>
      </c>
      <c r="E141" s="40">
        <v>3</v>
      </c>
      <c r="F141" s="27">
        <f>CHOOSE(E141,AVERAGEIF($3:$3,TRUE,141:141),INDEX(141:141,$F$2),G141)</f>
        <v>1.1000000000000001</v>
      </c>
      <c r="G141" s="41">
        <v>1.1000000000000001</v>
      </c>
      <c r="H141" s="41">
        <v>1</v>
      </c>
      <c r="I141" s="53"/>
      <c r="J141" s="53">
        <f>IF(J3,J140/I140,$F$141*$H$141)</f>
        <v>1.0264678830381553</v>
      </c>
      <c r="K141" s="53">
        <f t="shared" ref="K141:T141" si="6">IF(K3,K140/J140,$F$141*$H$141)</f>
        <v>1.4109684833500982</v>
      </c>
      <c r="L141" s="53">
        <f t="shared" si="6"/>
        <v>0.93067437594038993</v>
      </c>
      <c r="M141" s="53">
        <f t="shared" si="6"/>
        <v>1.1000000000000001</v>
      </c>
      <c r="N141" s="53">
        <f t="shared" si="6"/>
        <v>1.1000000000000001</v>
      </c>
      <c r="O141" s="53">
        <f t="shared" si="6"/>
        <v>1.1000000000000001</v>
      </c>
      <c r="P141" s="53">
        <f t="shared" si="6"/>
        <v>1.1000000000000001</v>
      </c>
      <c r="Q141" s="53">
        <f t="shared" si="6"/>
        <v>1.1000000000000001</v>
      </c>
      <c r="R141" s="53">
        <f t="shared" si="6"/>
        <v>1.1000000000000001</v>
      </c>
      <c r="S141" s="53">
        <f t="shared" si="6"/>
        <v>1.1000000000000001</v>
      </c>
      <c r="T141" s="53">
        <f t="shared" si="6"/>
        <v>1.1000000000000001</v>
      </c>
    </row>
    <row r="142" spans="1:20" x14ac:dyDescent="0.3">
      <c r="D142" s="16"/>
      <c r="E142" s="16"/>
      <c r="F142" s="16"/>
      <c r="G142" s="16"/>
      <c r="H142" s="16"/>
      <c r="I142" s="53"/>
      <c r="J142" s="53"/>
      <c r="K142" s="53"/>
      <c r="L142" s="53"/>
      <c r="M142" s="54"/>
      <c r="N142" s="54"/>
      <c r="O142" s="54"/>
      <c r="P142" s="54"/>
      <c r="Q142" s="54"/>
      <c r="R142" s="54"/>
      <c r="S142" s="54"/>
      <c r="T142" s="54"/>
    </row>
    <row r="143" spans="1:20" x14ac:dyDescent="0.3">
      <c r="B143" s="6" t="s">
        <v>129</v>
      </c>
      <c r="D143" s="16"/>
      <c r="E143" s="16"/>
      <c r="F143" s="16"/>
      <c r="G143" s="16"/>
      <c r="H143" s="16"/>
      <c r="I143" s="53">
        <f>IF(I3,I11)</f>
        <v>-21361047.050000001</v>
      </c>
      <c r="J143" s="53">
        <f>IF(J3,J11)</f>
        <v>-4448226</v>
      </c>
      <c r="K143" s="53">
        <f t="shared" ref="K143:T143" si="7">IF(K3,K11)</f>
        <v>-2304166</v>
      </c>
      <c r="L143" s="53">
        <f t="shared" si="7"/>
        <v>-834699.96</v>
      </c>
      <c r="M143" s="53" t="b">
        <f t="shared" si="7"/>
        <v>0</v>
      </c>
      <c r="N143" s="53" t="b">
        <f t="shared" si="7"/>
        <v>0</v>
      </c>
      <c r="O143" s="53" t="b">
        <f t="shared" si="7"/>
        <v>0</v>
      </c>
      <c r="P143" s="53" t="b">
        <f t="shared" si="7"/>
        <v>0</v>
      </c>
      <c r="Q143" s="53" t="b">
        <f t="shared" si="7"/>
        <v>0</v>
      </c>
      <c r="R143" s="53" t="b">
        <f t="shared" si="7"/>
        <v>0</v>
      </c>
      <c r="S143" s="53" t="b">
        <f t="shared" si="7"/>
        <v>0</v>
      </c>
      <c r="T143" s="53" t="b">
        <f t="shared" si="7"/>
        <v>0</v>
      </c>
    </row>
    <row r="144" spans="1:20" x14ac:dyDescent="0.3">
      <c r="C144" s="6" t="s">
        <v>130</v>
      </c>
      <c r="E144" s="40">
        <v>1</v>
      </c>
      <c r="F144" s="26">
        <f>CHOOSE(E144,AVERAGEIF($3:$3,TRUE,144:144),INDEX(144:144,$F$2),G144)</f>
        <v>-1.8434584978213745E-3</v>
      </c>
      <c r="G144" s="42">
        <v>-4.0000000000000002E-4</v>
      </c>
      <c r="H144" s="16"/>
      <c r="I144" s="26">
        <f>IF(I3,I143/I140,$F$144)</f>
        <v>-5.644657684273623E-3</v>
      </c>
      <c r="J144" s="26">
        <f t="shared" ref="J144:T144" si="8">IF(J3,J143/J140,$F$144)</f>
        <v>-1.1451346393167262E-3</v>
      </c>
      <c r="K144" s="26">
        <f t="shared" si="8"/>
        <v>-4.2040334076647365E-4</v>
      </c>
      <c r="L144" s="26">
        <f t="shared" si="8"/>
        <v>-1.6363832692867523E-4</v>
      </c>
      <c r="M144" s="26">
        <f t="shared" si="8"/>
        <v>-1.8434584978213745E-3</v>
      </c>
      <c r="N144" s="26">
        <f t="shared" si="8"/>
        <v>-1.8434584978213745E-3</v>
      </c>
      <c r="O144" s="26">
        <f t="shared" si="8"/>
        <v>-1.8434584978213745E-3</v>
      </c>
      <c r="P144" s="26">
        <f t="shared" si="8"/>
        <v>-1.8434584978213745E-3</v>
      </c>
      <c r="Q144" s="26">
        <f t="shared" si="8"/>
        <v>-1.8434584978213745E-3</v>
      </c>
      <c r="R144" s="26">
        <f t="shared" si="8"/>
        <v>-1.8434584978213745E-3</v>
      </c>
      <c r="S144" s="26">
        <f t="shared" si="8"/>
        <v>-1.8434584978213745E-3</v>
      </c>
      <c r="T144" s="26">
        <f t="shared" si="8"/>
        <v>-1.8434584978213745E-3</v>
      </c>
    </row>
    <row r="145" spans="3:20" x14ac:dyDescent="0.3">
      <c r="D145" s="16"/>
      <c r="E145" s="16"/>
      <c r="F145" s="16"/>
      <c r="G145" s="16"/>
      <c r="H145" s="16"/>
      <c r="I145" s="16"/>
      <c r="J145" s="16"/>
      <c r="K145" s="16"/>
      <c r="L145" s="16"/>
    </row>
    <row r="146" spans="3:20" x14ac:dyDescent="0.3">
      <c r="C146" s="6" t="s">
        <v>131</v>
      </c>
      <c r="F146" s="16"/>
      <c r="G146" s="16"/>
      <c r="H146" s="16"/>
    </row>
    <row r="147" spans="3:20" x14ac:dyDescent="0.3">
      <c r="D147" s="6" t="s">
        <v>133</v>
      </c>
      <c r="F147" s="16"/>
      <c r="G147" s="16"/>
      <c r="H147" s="16"/>
      <c r="I147" s="19">
        <f>IF(I3,I14)</f>
        <v>957146929.88996994</v>
      </c>
      <c r="J147" s="19">
        <f>IF(J3,J14)</f>
        <v>880777972.17455494</v>
      </c>
      <c r="K147" s="19">
        <f>IF(K3,K14)</f>
        <v>1551106815.45171</v>
      </c>
      <c r="L147" s="19">
        <f>IF(L3,L14)</f>
        <v>1372621773.1294601</v>
      </c>
      <c r="M147" s="19" t="b">
        <f>IF(M3,M14)</f>
        <v>0</v>
      </c>
      <c r="N147" s="19" t="b">
        <f>IF(N3,N14)</f>
        <v>0</v>
      </c>
      <c r="O147" s="19" t="b">
        <f>IF(O3,O14)</f>
        <v>0</v>
      </c>
      <c r="P147" s="19" t="b">
        <f>IF(P3,P14)</f>
        <v>0</v>
      </c>
      <c r="Q147" s="19" t="b">
        <f>IF(Q3,Q14)</f>
        <v>0</v>
      </c>
      <c r="R147" s="19" t="b">
        <f>IF(R3,R14)</f>
        <v>0</v>
      </c>
      <c r="S147" s="19" t="b">
        <f>IF(S3,S14)</f>
        <v>0</v>
      </c>
      <c r="T147" s="19" t="b">
        <f>IF(T3,T14)</f>
        <v>0</v>
      </c>
    </row>
    <row r="148" spans="3:20" x14ac:dyDescent="0.3">
      <c r="D148" s="6" t="s">
        <v>132</v>
      </c>
      <c r="E148" s="40">
        <v>2</v>
      </c>
      <c r="F148" s="26">
        <f>CHOOSE(E148,AVERAGEIF($3:$3,TRUE,148:148),INDEX(148:148,$F$2),G148)</f>
        <v>0.26909493377809252</v>
      </c>
      <c r="G148" s="42">
        <v>0.28000000000000003</v>
      </c>
      <c r="H148" s="16"/>
      <c r="I148" s="26">
        <f>IF(I3,I147/I140,$F$148)</f>
        <v>0.2529261210902265</v>
      </c>
      <c r="J148" s="26">
        <f t="shared" ref="J148:T148" si="9">IF(J3,J147/J140,$F$148)</f>
        <v>0.22674418194674159</v>
      </c>
      <c r="K148" s="26">
        <f t="shared" si="9"/>
        <v>0.28300499490989145</v>
      </c>
      <c r="L148" s="26">
        <f t="shared" si="9"/>
        <v>0.26909493377809252</v>
      </c>
      <c r="M148" s="26">
        <f t="shared" si="9"/>
        <v>0.26909493377809252</v>
      </c>
      <c r="N148" s="26">
        <f t="shared" si="9"/>
        <v>0.26909493377809252</v>
      </c>
      <c r="O148" s="26">
        <f t="shared" si="9"/>
        <v>0.26909493377809252</v>
      </c>
      <c r="P148" s="26">
        <f t="shared" si="9"/>
        <v>0.26909493377809252</v>
      </c>
      <c r="Q148" s="26">
        <f t="shared" si="9"/>
        <v>0.26909493377809252</v>
      </c>
      <c r="R148" s="26">
        <f t="shared" si="9"/>
        <v>0.26909493377809252</v>
      </c>
      <c r="S148" s="26">
        <f t="shared" si="9"/>
        <v>0.26909493377809252</v>
      </c>
      <c r="T148" s="26">
        <f t="shared" si="9"/>
        <v>0.26909493377809252</v>
      </c>
    </row>
    <row r="149" spans="3:20" x14ac:dyDescent="0.3">
      <c r="F149" s="16"/>
      <c r="G149" s="16"/>
      <c r="H149" s="16"/>
      <c r="I149" s="16"/>
      <c r="J149" s="16"/>
      <c r="K149" s="16"/>
      <c r="L149" s="16"/>
    </row>
    <row r="150" spans="3:20" x14ac:dyDescent="0.3">
      <c r="C150" s="6" t="s">
        <v>134</v>
      </c>
    </row>
    <row r="151" spans="3:20" x14ac:dyDescent="0.3">
      <c r="D151" s="6" t="s">
        <v>135</v>
      </c>
      <c r="I151" s="11">
        <f>IF(I$3,I17)</f>
        <v>862981910.15999997</v>
      </c>
      <c r="J151" s="11">
        <f t="shared" ref="J151:T151" si="10">IF(J$3,J17)</f>
        <v>1188791010.23</v>
      </c>
      <c r="K151" s="11">
        <f t="shared" si="10"/>
        <v>1254259251</v>
      </c>
      <c r="L151" s="11">
        <f t="shared" si="10"/>
        <v>1262005898.1600001</v>
      </c>
      <c r="M151" s="11" t="b">
        <f t="shared" si="10"/>
        <v>0</v>
      </c>
      <c r="N151" s="11" t="b">
        <f t="shared" si="10"/>
        <v>0</v>
      </c>
      <c r="O151" s="11" t="b">
        <f t="shared" si="10"/>
        <v>0</v>
      </c>
      <c r="P151" s="11" t="b">
        <f t="shared" si="10"/>
        <v>0</v>
      </c>
      <c r="Q151" s="11" t="b">
        <f t="shared" si="10"/>
        <v>0</v>
      </c>
      <c r="R151" s="11" t="b">
        <f t="shared" si="10"/>
        <v>0</v>
      </c>
      <c r="S151" s="11" t="b">
        <f t="shared" si="10"/>
        <v>0</v>
      </c>
      <c r="T151" s="11" t="b">
        <f t="shared" si="10"/>
        <v>0</v>
      </c>
    </row>
    <row r="152" spans="3:20" x14ac:dyDescent="0.3">
      <c r="D152" s="25" t="s">
        <v>143</v>
      </c>
      <c r="E152" s="40">
        <v>3</v>
      </c>
      <c r="F152" s="26">
        <f>CHOOSE(E152,AVERAGEIF($3:$3,TRUE,152:152),INDEX(152:152,$F$2),G152)</f>
        <v>0.1</v>
      </c>
      <c r="G152" s="42">
        <v>0.1</v>
      </c>
      <c r="J152" s="31">
        <f>IF(J3,J151/I151-1,$F$152)</f>
        <v>0.3775387365994658</v>
      </c>
      <c r="K152" s="31">
        <f t="shared" ref="K152:T152" si="11">IF(K3,K151/J151-1,$F$152)</f>
        <v>5.5071278472516028E-2</v>
      </c>
      <c r="L152" s="31">
        <f t="shared" si="11"/>
        <v>6.1762726914900146E-3</v>
      </c>
      <c r="M152" s="31">
        <f t="shared" si="11"/>
        <v>0.1</v>
      </c>
      <c r="N152" s="31">
        <f t="shared" si="11"/>
        <v>0.1</v>
      </c>
      <c r="O152" s="31">
        <f t="shared" si="11"/>
        <v>0.1</v>
      </c>
      <c r="P152" s="31">
        <f t="shared" si="11"/>
        <v>0.1</v>
      </c>
      <c r="Q152" s="31">
        <f t="shared" si="11"/>
        <v>0.1</v>
      </c>
      <c r="R152" s="31">
        <f t="shared" si="11"/>
        <v>0.1</v>
      </c>
      <c r="S152" s="31">
        <f t="shared" si="11"/>
        <v>0.1</v>
      </c>
      <c r="T152" s="31">
        <f t="shared" si="11"/>
        <v>0.1</v>
      </c>
    </row>
    <row r="154" spans="3:20" x14ac:dyDescent="0.3">
      <c r="C154" s="6" t="s">
        <v>136</v>
      </c>
    </row>
    <row r="155" spans="3:20" x14ac:dyDescent="0.3">
      <c r="D155" s="6" t="s">
        <v>135</v>
      </c>
      <c r="I155" s="11">
        <f>IF(I$3,I18)</f>
        <v>72073709.5</v>
      </c>
      <c r="J155" s="11">
        <f t="shared" ref="J155:T155" si="12">IF(J$3,J18)</f>
        <v>110722053.12</v>
      </c>
      <c r="K155" s="11">
        <f t="shared" si="12"/>
        <v>152974958.13999999</v>
      </c>
      <c r="L155" s="11">
        <f t="shared" si="12"/>
        <v>154521293.16</v>
      </c>
      <c r="M155" s="11" t="b">
        <f t="shared" si="12"/>
        <v>0</v>
      </c>
      <c r="N155" s="11" t="b">
        <f t="shared" si="12"/>
        <v>0</v>
      </c>
      <c r="O155" s="11" t="b">
        <f t="shared" si="12"/>
        <v>0</v>
      </c>
      <c r="P155" s="11" t="b">
        <f t="shared" si="12"/>
        <v>0</v>
      </c>
      <c r="Q155" s="11" t="b">
        <f t="shared" si="12"/>
        <v>0</v>
      </c>
      <c r="R155" s="11" t="b">
        <f t="shared" si="12"/>
        <v>0</v>
      </c>
      <c r="S155" s="11" t="b">
        <f t="shared" si="12"/>
        <v>0</v>
      </c>
      <c r="T155" s="11" t="b">
        <f t="shared" si="12"/>
        <v>0</v>
      </c>
    </row>
    <row r="156" spans="3:20" x14ac:dyDescent="0.3">
      <c r="D156" s="6" t="s">
        <v>137</v>
      </c>
      <c r="E156" s="40">
        <v>1</v>
      </c>
      <c r="F156" s="26">
        <f>CHOOSE(E156,AVERAGEIF($3:$3,TRUE,156:156),INDEX(156:156,$F$2),G156)</f>
        <v>0.10526520796006064</v>
      </c>
      <c r="G156" s="42">
        <v>0.1</v>
      </c>
      <c r="I156" s="31">
        <f>IF(I3,I155/I151,$F$156)</f>
        <v>8.3517057138123879E-2</v>
      </c>
      <c r="J156" s="31">
        <f t="shared" ref="J156:T156" si="13">IF(J3,J155/J151,$F$156)</f>
        <v>9.3138366766903943E-2</v>
      </c>
      <c r="K156" s="31">
        <f t="shared" si="13"/>
        <v>0.12196438496908482</v>
      </c>
      <c r="L156" s="31">
        <f t="shared" si="13"/>
        <v>0.12244102296612992</v>
      </c>
      <c r="M156" s="31">
        <f t="shared" si="13"/>
        <v>0.10526520796006064</v>
      </c>
      <c r="N156" s="31">
        <f t="shared" si="13"/>
        <v>0.10526520796006064</v>
      </c>
      <c r="O156" s="31">
        <f t="shared" si="13"/>
        <v>0.10526520796006064</v>
      </c>
      <c r="P156" s="31">
        <f t="shared" si="13"/>
        <v>0.10526520796006064</v>
      </c>
      <c r="Q156" s="31">
        <f t="shared" si="13"/>
        <v>0.10526520796006064</v>
      </c>
      <c r="R156" s="31">
        <f t="shared" si="13"/>
        <v>0.10526520796006064</v>
      </c>
      <c r="S156" s="31">
        <f t="shared" si="13"/>
        <v>0.10526520796006064</v>
      </c>
      <c r="T156" s="31">
        <f t="shared" si="13"/>
        <v>0.10526520796006064</v>
      </c>
    </row>
    <row r="158" spans="3:20" x14ac:dyDescent="0.3">
      <c r="C158" s="6" t="s">
        <v>138</v>
      </c>
    </row>
    <row r="159" spans="3:20" x14ac:dyDescent="0.3">
      <c r="D159" s="6" t="s">
        <v>135</v>
      </c>
      <c r="I159" s="11">
        <f>IF(I$3,I19)</f>
        <v>56614895.447899997</v>
      </c>
      <c r="J159" s="11">
        <f t="shared" ref="J159:T159" si="14">IF(J$3,J19)</f>
        <v>64368583.720739998</v>
      </c>
      <c r="K159" s="11">
        <f t="shared" si="14"/>
        <v>71339300.051720902</v>
      </c>
      <c r="L159" s="11">
        <f t="shared" si="14"/>
        <v>58775938.748011701</v>
      </c>
      <c r="M159" s="11" t="b">
        <f t="shared" si="14"/>
        <v>0</v>
      </c>
      <c r="N159" s="11" t="b">
        <f t="shared" si="14"/>
        <v>0</v>
      </c>
      <c r="O159" s="11" t="b">
        <f t="shared" si="14"/>
        <v>0</v>
      </c>
      <c r="P159" s="11" t="b">
        <f t="shared" si="14"/>
        <v>0</v>
      </c>
      <c r="Q159" s="11" t="b">
        <f t="shared" si="14"/>
        <v>0</v>
      </c>
      <c r="R159" s="11" t="b">
        <f t="shared" si="14"/>
        <v>0</v>
      </c>
      <c r="S159" s="11" t="b">
        <f t="shared" si="14"/>
        <v>0</v>
      </c>
      <c r="T159" s="11" t="b">
        <f t="shared" si="14"/>
        <v>0</v>
      </c>
    </row>
    <row r="160" spans="3:20" x14ac:dyDescent="0.3">
      <c r="D160" s="6" t="s">
        <v>139</v>
      </c>
      <c r="E160" s="40">
        <v>1</v>
      </c>
      <c r="F160" s="26">
        <f>CHOOSE(E160,AVERAGEIF($3:$3,TRUE,160:160),INDEX(160:160,$F$2),G160)</f>
        <v>6.3276535347610824E-2</v>
      </c>
      <c r="G160" s="42">
        <v>7.0000000000000007E-2</v>
      </c>
      <c r="I160" s="31">
        <f>IF(I3,I159/I85,$F$160)</f>
        <v>6.7171690267931933E-2</v>
      </c>
      <c r="J160" s="31">
        <f t="shared" ref="J160:T160" si="15">IF(J3,J159/J85,$F$160)</f>
        <v>6.2093593567199283E-2</v>
      </c>
      <c r="K160" s="31">
        <f t="shared" si="15"/>
        <v>6.9031922821020705E-2</v>
      </c>
      <c r="L160" s="31">
        <f t="shared" si="15"/>
        <v>5.4808934734291409E-2</v>
      </c>
      <c r="M160" s="31">
        <f t="shared" si="15"/>
        <v>6.3276535347610824E-2</v>
      </c>
      <c r="N160" s="31">
        <f t="shared" si="15"/>
        <v>6.3276535347610824E-2</v>
      </c>
      <c r="O160" s="31">
        <f t="shared" si="15"/>
        <v>6.3276535347610824E-2</v>
      </c>
      <c r="P160" s="31">
        <f t="shared" si="15"/>
        <v>6.3276535347610824E-2</v>
      </c>
      <c r="Q160" s="31">
        <f t="shared" si="15"/>
        <v>6.3276535347610824E-2</v>
      </c>
      <c r="R160" s="31">
        <f t="shared" si="15"/>
        <v>6.3276535347610824E-2</v>
      </c>
      <c r="S160" s="31">
        <f t="shared" si="15"/>
        <v>6.3276535347610824E-2</v>
      </c>
      <c r="T160" s="31">
        <f t="shared" si="15"/>
        <v>6.3276535347610824E-2</v>
      </c>
    </row>
    <row r="162" spans="3:20" x14ac:dyDescent="0.3">
      <c r="C162" s="6" t="s">
        <v>140</v>
      </c>
    </row>
    <row r="163" spans="3:20" x14ac:dyDescent="0.3">
      <c r="D163" s="6" t="s">
        <v>135</v>
      </c>
      <c r="I163" s="11">
        <f>IF(I$3,I20)</f>
        <v>72642084.549999997</v>
      </c>
      <c r="J163" s="11">
        <f t="shared" ref="J163:T163" si="16">IF(J$3,J20)</f>
        <v>79333028.920000002</v>
      </c>
      <c r="K163" s="11">
        <f t="shared" si="16"/>
        <v>112006184.69</v>
      </c>
      <c r="L163" s="11">
        <f t="shared" si="16"/>
        <v>129676546.41</v>
      </c>
      <c r="M163" s="11" t="b">
        <f t="shared" si="16"/>
        <v>0</v>
      </c>
      <c r="N163" s="11" t="b">
        <f t="shared" si="16"/>
        <v>0</v>
      </c>
      <c r="O163" s="11" t="b">
        <f t="shared" si="16"/>
        <v>0</v>
      </c>
      <c r="P163" s="11" t="b">
        <f t="shared" si="16"/>
        <v>0</v>
      </c>
      <c r="Q163" s="11" t="b">
        <f t="shared" si="16"/>
        <v>0</v>
      </c>
      <c r="R163" s="11" t="b">
        <f t="shared" si="16"/>
        <v>0</v>
      </c>
      <c r="S163" s="11" t="b">
        <f t="shared" si="16"/>
        <v>0</v>
      </c>
      <c r="T163" s="11" t="b">
        <f t="shared" si="16"/>
        <v>0</v>
      </c>
    </row>
    <row r="164" spans="3:20" x14ac:dyDescent="0.3">
      <c r="D164" s="25" t="s">
        <v>132</v>
      </c>
      <c r="E164" s="40">
        <v>2</v>
      </c>
      <c r="F164" s="26">
        <f>CHOOSE(E164,AVERAGEIF($3:$3,TRUE,164:164),INDEX(164:164,$F$2),G164)</f>
        <v>2.5422372245496584E-2</v>
      </c>
      <c r="G164" s="42">
        <v>0.03</v>
      </c>
      <c r="I164" s="31">
        <f>IF(I3,I163/I140,$F$164)</f>
        <v>1.9195674247476164E-2</v>
      </c>
      <c r="J164" s="31">
        <f t="shared" ref="J164:T164" si="17">IF(J3,J163/J140,$F$164)</f>
        <v>2.0423197800248372E-2</v>
      </c>
      <c r="K164" s="31">
        <f t="shared" si="17"/>
        <v>2.0435929629281334E-2</v>
      </c>
      <c r="L164" s="31">
        <f t="shared" si="17"/>
        <v>2.5422372245496584E-2</v>
      </c>
      <c r="M164" s="31">
        <f t="shared" si="17"/>
        <v>2.5422372245496584E-2</v>
      </c>
      <c r="N164" s="31">
        <f t="shared" si="17"/>
        <v>2.5422372245496584E-2</v>
      </c>
      <c r="O164" s="31">
        <f t="shared" si="17"/>
        <v>2.5422372245496584E-2</v>
      </c>
      <c r="P164" s="31">
        <f t="shared" si="17"/>
        <v>2.5422372245496584E-2</v>
      </c>
      <c r="Q164" s="31">
        <f t="shared" si="17"/>
        <v>2.5422372245496584E-2</v>
      </c>
      <c r="R164" s="31">
        <f t="shared" si="17"/>
        <v>2.5422372245496584E-2</v>
      </c>
      <c r="S164" s="31">
        <f t="shared" si="17"/>
        <v>2.5422372245496584E-2</v>
      </c>
      <c r="T164" s="31">
        <f t="shared" si="17"/>
        <v>2.5422372245496584E-2</v>
      </c>
    </row>
    <row r="166" spans="3:20" x14ac:dyDescent="0.3">
      <c r="C166" s="6" t="s">
        <v>141</v>
      </c>
    </row>
    <row r="167" spans="3:20" x14ac:dyDescent="0.3">
      <c r="D167" s="6" t="s">
        <v>135</v>
      </c>
      <c r="I167" s="11">
        <f>IF(I$3,I22)</f>
        <v>29024748</v>
      </c>
      <c r="J167" s="11">
        <f t="shared" ref="J167:T167" si="18">IF(J$3,J22)</f>
        <v>15499593.779999999</v>
      </c>
      <c r="K167" s="11">
        <f t="shared" si="18"/>
        <v>32550972.629999999</v>
      </c>
      <c r="L167" s="11">
        <f t="shared" si="18"/>
        <v>21749954.550000001</v>
      </c>
      <c r="M167" s="11" t="b">
        <f t="shared" si="18"/>
        <v>0</v>
      </c>
      <c r="N167" s="11" t="b">
        <f t="shared" si="18"/>
        <v>0</v>
      </c>
      <c r="O167" s="11" t="b">
        <f t="shared" si="18"/>
        <v>0</v>
      </c>
      <c r="P167" s="11" t="b">
        <f t="shared" si="18"/>
        <v>0</v>
      </c>
      <c r="Q167" s="11" t="b">
        <f t="shared" si="18"/>
        <v>0</v>
      </c>
      <c r="R167" s="11" t="b">
        <f t="shared" si="18"/>
        <v>0</v>
      </c>
      <c r="S167" s="11" t="b">
        <f t="shared" si="18"/>
        <v>0</v>
      </c>
      <c r="T167" s="11" t="b">
        <f t="shared" si="18"/>
        <v>0</v>
      </c>
    </row>
    <row r="168" spans="3:20" x14ac:dyDescent="0.3">
      <c r="D168" s="25" t="s">
        <v>137</v>
      </c>
      <c r="E168" s="40">
        <v>2</v>
      </c>
      <c r="F168" s="26">
        <f>CHOOSE(E168,AVERAGEIF($3:$3,TRUE,168:168),INDEX(168:168,$F$2),G168)</f>
        <v>1.7234431773822414E-2</v>
      </c>
      <c r="G168" s="44">
        <v>1.7999999999999999E-2</v>
      </c>
      <c r="I168" s="31">
        <f>IF(I3,I167/I151,$F$168)</f>
        <v>3.3633089707081704E-2</v>
      </c>
      <c r="J168" s="31">
        <f t="shared" ref="J168:T168" si="19">IF(J3,J167/J151,$F$168)</f>
        <v>1.3038114897084587E-2</v>
      </c>
      <c r="K168" s="31">
        <f t="shared" si="19"/>
        <v>2.5952348052484087E-2</v>
      </c>
      <c r="L168" s="31">
        <f t="shared" si="19"/>
        <v>1.7234431773822414E-2</v>
      </c>
      <c r="M168" s="31">
        <f t="shared" si="19"/>
        <v>1.7234431773822414E-2</v>
      </c>
      <c r="N168" s="31">
        <f t="shared" si="19"/>
        <v>1.7234431773822414E-2</v>
      </c>
      <c r="O168" s="31">
        <f t="shared" si="19"/>
        <v>1.7234431773822414E-2</v>
      </c>
      <c r="P168" s="31">
        <f t="shared" si="19"/>
        <v>1.7234431773822414E-2</v>
      </c>
      <c r="Q168" s="31">
        <f t="shared" si="19"/>
        <v>1.7234431773822414E-2</v>
      </c>
      <c r="R168" s="31">
        <f t="shared" si="19"/>
        <v>1.7234431773822414E-2</v>
      </c>
      <c r="S168" s="31">
        <f t="shared" si="19"/>
        <v>1.7234431773822414E-2</v>
      </c>
      <c r="T168" s="31">
        <f t="shared" si="19"/>
        <v>1.7234431773822414E-2</v>
      </c>
    </row>
    <row r="170" spans="3:20" x14ac:dyDescent="0.3">
      <c r="C170" s="6" t="s">
        <v>142</v>
      </c>
    </row>
    <row r="171" spans="3:20" x14ac:dyDescent="0.3">
      <c r="D171" s="6" t="s">
        <v>135</v>
      </c>
      <c r="I171" s="11">
        <f>IF(I$3,I21)</f>
        <v>191626512.56999999</v>
      </c>
      <c r="J171" s="11">
        <f t="shared" ref="J171:T171" si="20">IF(J$3,J21)</f>
        <v>203393869.31</v>
      </c>
      <c r="K171" s="11">
        <f t="shared" si="20"/>
        <v>215321702.00999999</v>
      </c>
      <c r="L171" s="11">
        <f t="shared" si="20"/>
        <v>534855986.30000001</v>
      </c>
      <c r="M171" s="11" t="b">
        <f t="shared" si="20"/>
        <v>0</v>
      </c>
      <c r="N171" s="11" t="b">
        <f t="shared" si="20"/>
        <v>0</v>
      </c>
      <c r="O171" s="11" t="b">
        <f t="shared" si="20"/>
        <v>0</v>
      </c>
      <c r="P171" s="11" t="b">
        <f t="shared" si="20"/>
        <v>0</v>
      </c>
      <c r="Q171" s="11" t="b">
        <f t="shared" si="20"/>
        <v>0</v>
      </c>
      <c r="R171" s="11" t="b">
        <f t="shared" si="20"/>
        <v>0</v>
      </c>
      <c r="S171" s="11" t="b">
        <f t="shared" si="20"/>
        <v>0</v>
      </c>
      <c r="T171" s="11" t="b">
        <f t="shared" si="20"/>
        <v>0</v>
      </c>
    </row>
    <row r="172" spans="3:20" x14ac:dyDescent="0.3">
      <c r="D172" s="25" t="s">
        <v>143</v>
      </c>
      <c r="E172" s="40">
        <v>3</v>
      </c>
      <c r="F172" s="26">
        <f>CHOOSE(E172,AVERAGEIF($3:$3,TRUE,172:172),INDEX(172:172,$F$2),G172)</f>
        <v>0.1</v>
      </c>
      <c r="G172" s="43">
        <v>0.1</v>
      </c>
      <c r="J172" s="31">
        <f>IF(J3,J171/I171-1,$F$172)</f>
        <v>6.1407769635746234E-2</v>
      </c>
      <c r="K172" s="31">
        <f t="shared" ref="K172:T172" si="21">IF(K3,K171/J171-1,$F$172)</f>
        <v>5.8644012921649891E-2</v>
      </c>
      <c r="L172" s="31">
        <f t="shared" si="21"/>
        <v>1.4839855031201648</v>
      </c>
      <c r="M172" s="31">
        <f t="shared" si="21"/>
        <v>0.1</v>
      </c>
      <c r="N172" s="31">
        <f t="shared" si="21"/>
        <v>0.1</v>
      </c>
      <c r="O172" s="31">
        <f t="shared" si="21"/>
        <v>0.1</v>
      </c>
      <c r="P172" s="31">
        <f t="shared" si="21"/>
        <v>0.1</v>
      </c>
      <c r="Q172" s="31">
        <f t="shared" si="21"/>
        <v>0.1</v>
      </c>
      <c r="R172" s="31">
        <f t="shared" si="21"/>
        <v>0.1</v>
      </c>
      <c r="S172" s="31">
        <f t="shared" si="21"/>
        <v>0.1</v>
      </c>
      <c r="T172" s="31">
        <f t="shared" si="21"/>
        <v>0.1</v>
      </c>
    </row>
    <row r="174" spans="3:20" x14ac:dyDescent="0.3">
      <c r="C174" s="6" t="s">
        <v>144</v>
      </c>
    </row>
    <row r="175" spans="3:20" x14ac:dyDescent="0.3">
      <c r="D175" s="6" t="s">
        <v>135</v>
      </c>
      <c r="I175" s="11">
        <f>IF(I$3,I23)</f>
        <v>26643103.120000001</v>
      </c>
      <c r="J175" s="11">
        <f t="shared" ref="J175:T175" si="22">IF(J$3,J23)</f>
        <v>11257925</v>
      </c>
      <c r="K175" s="11">
        <f t="shared" si="22"/>
        <v>11135795</v>
      </c>
      <c r="L175" s="11">
        <f t="shared" si="22"/>
        <v>9351226.5500000007</v>
      </c>
      <c r="M175" s="11" t="b">
        <f t="shared" si="22"/>
        <v>0</v>
      </c>
      <c r="N175" s="11" t="b">
        <f t="shared" si="22"/>
        <v>0</v>
      </c>
      <c r="O175" s="11" t="b">
        <f t="shared" si="22"/>
        <v>0</v>
      </c>
      <c r="P175" s="11" t="b">
        <f t="shared" si="22"/>
        <v>0</v>
      </c>
      <c r="Q175" s="11" t="b">
        <f t="shared" si="22"/>
        <v>0</v>
      </c>
      <c r="R175" s="11" t="b">
        <f t="shared" si="22"/>
        <v>0</v>
      </c>
      <c r="S175" s="11" t="b">
        <f t="shared" si="22"/>
        <v>0</v>
      </c>
      <c r="T175" s="11" t="b">
        <f t="shared" si="22"/>
        <v>0</v>
      </c>
    </row>
    <row r="176" spans="3:20" x14ac:dyDescent="0.3">
      <c r="D176" s="25" t="s">
        <v>162</v>
      </c>
      <c r="E176" s="40">
        <v>2</v>
      </c>
      <c r="F176" s="26">
        <f>CHOOSE(E176,AVERAGEIF($3:$3,TRUE,176:176),INDEX(176:176,$F$2),G176)</f>
        <v>1.8332564283015038E-3</v>
      </c>
      <c r="G176" s="44">
        <v>1.8E-3</v>
      </c>
      <c r="I176" s="31">
        <f>IF(I3,I175/I140,$F$176)</f>
        <v>7.0404412483704793E-3</v>
      </c>
      <c r="J176" s="31">
        <f t="shared" ref="J176:T176" si="23">IF(J3,J175/J140,$F$176)</f>
        <v>2.8981980421700147E-3</v>
      </c>
      <c r="K176" s="31">
        <f t="shared" si="23"/>
        <v>2.031765688796117E-3</v>
      </c>
      <c r="L176" s="31">
        <f t="shared" si="23"/>
        <v>1.8332564283015038E-3</v>
      </c>
      <c r="M176" s="31">
        <f t="shared" si="23"/>
        <v>1.8332564283015038E-3</v>
      </c>
      <c r="N176" s="31">
        <f t="shared" si="23"/>
        <v>1.8332564283015038E-3</v>
      </c>
      <c r="O176" s="31">
        <f t="shared" si="23"/>
        <v>1.8332564283015038E-3</v>
      </c>
      <c r="P176" s="31">
        <f t="shared" si="23"/>
        <v>1.8332564283015038E-3</v>
      </c>
      <c r="Q176" s="31">
        <f t="shared" si="23"/>
        <v>1.8332564283015038E-3</v>
      </c>
      <c r="R176" s="31">
        <f t="shared" si="23"/>
        <v>1.8332564283015038E-3</v>
      </c>
      <c r="S176" s="31">
        <f t="shared" si="23"/>
        <v>1.8332564283015038E-3</v>
      </c>
      <c r="T176" s="31">
        <f t="shared" si="23"/>
        <v>1.8332564283015038E-3</v>
      </c>
    </row>
    <row r="178" spans="3:20" x14ac:dyDescent="0.3">
      <c r="C178" s="6" t="s">
        <v>149</v>
      </c>
    </row>
    <row r="179" spans="3:20" x14ac:dyDescent="0.3">
      <c r="D179" s="6" t="s">
        <v>135</v>
      </c>
      <c r="I179" s="11">
        <f>IF(I$3,I24)</f>
        <v>500000</v>
      </c>
      <c r="J179" s="11">
        <f t="shared" ref="J179:T179" si="24">IF(J$3,J24)</f>
        <v>150000</v>
      </c>
      <c r="K179" s="11">
        <f t="shared" si="24"/>
        <v>17100000</v>
      </c>
      <c r="L179" s="11">
        <f t="shared" si="24"/>
        <v>1552152</v>
      </c>
      <c r="M179" s="11" t="b">
        <f t="shared" si="24"/>
        <v>0</v>
      </c>
      <c r="N179" s="11" t="b">
        <f t="shared" si="24"/>
        <v>0</v>
      </c>
      <c r="O179" s="11" t="b">
        <f t="shared" si="24"/>
        <v>0</v>
      </c>
      <c r="P179" s="11" t="b">
        <f t="shared" si="24"/>
        <v>0</v>
      </c>
      <c r="Q179" s="11" t="b">
        <f t="shared" si="24"/>
        <v>0</v>
      </c>
      <c r="R179" s="11" t="b">
        <f t="shared" si="24"/>
        <v>0</v>
      </c>
      <c r="S179" s="11" t="b">
        <f t="shared" si="24"/>
        <v>0</v>
      </c>
      <c r="T179" s="11" t="b">
        <f t="shared" si="24"/>
        <v>0</v>
      </c>
    </row>
    <row r="180" spans="3:20" x14ac:dyDescent="0.3">
      <c r="D180" s="25" t="s">
        <v>143</v>
      </c>
      <c r="E180" s="40">
        <v>3</v>
      </c>
      <c r="F180" s="26">
        <f>CHOOSE(E180,AVERAGEIF($3:$3,TRUE,180:180),INDEX(180:180,$F$2),G180)</f>
        <v>0.1</v>
      </c>
      <c r="G180" s="43">
        <v>0.1</v>
      </c>
      <c r="J180" s="31">
        <f>IF(J3,J179/I179-1,$F$180)</f>
        <v>-0.7</v>
      </c>
      <c r="K180" s="31">
        <f>IF(K3,K179/J179-1,$F$180)</f>
        <v>113</v>
      </c>
      <c r="L180" s="31">
        <f>IF(L3,L179/K179-1,$F$180)</f>
        <v>-0.90923087719298246</v>
      </c>
      <c r="M180" s="31">
        <f>IF(M3,M179/L179-1,$F$180)</f>
        <v>0.1</v>
      </c>
      <c r="N180" s="31">
        <f>IF(N3,N179/M179-1,$F$180)</f>
        <v>0.1</v>
      </c>
      <c r="O180" s="31">
        <f>IF(O3,O179/N179-1,$F$180)</f>
        <v>0.1</v>
      </c>
      <c r="P180" s="31">
        <f>IF(P3,P179/O179-1,$F$180)</f>
        <v>0.1</v>
      </c>
      <c r="Q180" s="31">
        <f>IF(Q3,Q179/P179-1,$F$180)</f>
        <v>0.1</v>
      </c>
      <c r="R180" s="31">
        <f>IF(R3,R179/Q179-1,$F$180)</f>
        <v>0.1</v>
      </c>
      <c r="S180" s="31">
        <f>IF(S3,S179/R179-1,$F$180)</f>
        <v>0.1</v>
      </c>
      <c r="T180" s="31">
        <f>IF(T3,T179/S179-1,$F$180)</f>
        <v>0.1</v>
      </c>
    </row>
    <row r="181" spans="3:20" x14ac:dyDescent="0.3">
      <c r="D181" s="25"/>
      <c r="E181" s="25"/>
    </row>
    <row r="182" spans="3:20" x14ac:dyDescent="0.3">
      <c r="C182" s="6" t="s">
        <v>150</v>
      </c>
      <c r="D182" s="25"/>
      <c r="E182" s="25"/>
    </row>
    <row r="183" spans="3:20" x14ac:dyDescent="0.3">
      <c r="D183" s="25" t="s">
        <v>135</v>
      </c>
      <c r="E183" s="25"/>
      <c r="I183" s="11">
        <f>IF(I$3,I26)</f>
        <v>26581800.82</v>
      </c>
      <c r="J183" s="11">
        <f t="shared" ref="J183:T183" si="25">IF(J$3,J26)</f>
        <v>36474837.258000001</v>
      </c>
      <c r="K183" s="11">
        <f t="shared" si="25"/>
        <v>28900680.57</v>
      </c>
      <c r="L183" s="11">
        <f t="shared" si="25"/>
        <v>41879776.710000001</v>
      </c>
      <c r="M183" s="11" t="b">
        <f t="shared" si="25"/>
        <v>0</v>
      </c>
      <c r="N183" s="11" t="b">
        <f t="shared" si="25"/>
        <v>0</v>
      </c>
      <c r="O183" s="11" t="b">
        <f t="shared" si="25"/>
        <v>0</v>
      </c>
      <c r="P183" s="11" t="b">
        <f t="shared" si="25"/>
        <v>0</v>
      </c>
      <c r="Q183" s="11" t="b">
        <f t="shared" si="25"/>
        <v>0</v>
      </c>
      <c r="R183" s="11" t="b">
        <f t="shared" si="25"/>
        <v>0</v>
      </c>
      <c r="S183" s="11" t="b">
        <f t="shared" si="25"/>
        <v>0</v>
      </c>
      <c r="T183" s="11" t="b">
        <f t="shared" si="25"/>
        <v>0</v>
      </c>
    </row>
    <row r="184" spans="3:20" x14ac:dyDescent="0.3">
      <c r="D184" s="25" t="s">
        <v>151</v>
      </c>
      <c r="E184" s="40">
        <v>1</v>
      </c>
      <c r="F184" s="26">
        <f>CHOOSE(E184,AVERAGEIF($3:$3,TRUE,184:184),INDEX(184:184,$F$2),G184)</f>
        <v>7.4743799257482712E-3</v>
      </c>
      <c r="G184" s="44">
        <v>8.0000000000000002E-3</v>
      </c>
      <c r="I184" s="31">
        <f>IF(I3,I183/I140,$F$184)</f>
        <v>7.0242421127218995E-3</v>
      </c>
      <c r="J184" s="31">
        <f>IF(J3,J183/J140,$F$184)</f>
        <v>9.3899454765958654E-3</v>
      </c>
      <c r="K184" s="31">
        <f>IF(K3,K183/K140,$F$184)</f>
        <v>5.2730326990558466E-3</v>
      </c>
      <c r="L184" s="31">
        <f>IF(L3,L183/L140,$F$184)</f>
        <v>8.2102994146194749E-3</v>
      </c>
      <c r="M184" s="31">
        <f>IF(M3,M183/M140,$F$184)</f>
        <v>7.4743799257482712E-3</v>
      </c>
      <c r="N184" s="31">
        <f>IF(N3,N183/N140,$F$184)</f>
        <v>7.4743799257482712E-3</v>
      </c>
      <c r="O184" s="31">
        <f>IF(O3,O183/O140,$F$184)</f>
        <v>7.4743799257482712E-3</v>
      </c>
      <c r="P184" s="31">
        <f>IF(P3,P183/P140,$F$184)</f>
        <v>7.4743799257482712E-3</v>
      </c>
      <c r="Q184" s="31">
        <f>IF(Q3,Q183/Q140,$F$184)</f>
        <v>7.4743799257482712E-3</v>
      </c>
      <c r="R184" s="31">
        <f>IF(R3,R183/R140,$F$184)</f>
        <v>7.4743799257482712E-3</v>
      </c>
      <c r="S184" s="31">
        <f>IF(S3,S183/S140,$F$184)</f>
        <v>7.4743799257482712E-3</v>
      </c>
      <c r="T184" s="31">
        <f>IF(T3,T183/T140,$F$184)</f>
        <v>7.4743799257482712E-3</v>
      </c>
    </row>
    <row r="186" spans="3:20" x14ac:dyDescent="0.3">
      <c r="C186" s="6" t="s">
        <v>145</v>
      </c>
    </row>
    <row r="187" spans="3:20" x14ac:dyDescent="0.3">
      <c r="D187" s="6" t="s">
        <v>135</v>
      </c>
      <c r="I187" s="11">
        <f>IF(I$3,I27)</f>
        <v>47814207.036078997</v>
      </c>
      <c r="J187" s="11">
        <f t="shared" ref="J187:T187" si="26">IF(J$3,J27)</f>
        <v>51319427.265880004</v>
      </c>
      <c r="K187" s="11">
        <f t="shared" si="26"/>
        <v>62167797.281478502</v>
      </c>
      <c r="L187" s="11">
        <f t="shared" si="26"/>
        <v>66084273.097655997</v>
      </c>
      <c r="M187" s="11" t="b">
        <f t="shared" si="26"/>
        <v>0</v>
      </c>
      <c r="N187" s="11" t="b">
        <f t="shared" si="26"/>
        <v>0</v>
      </c>
      <c r="O187" s="11" t="b">
        <f t="shared" si="26"/>
        <v>0</v>
      </c>
      <c r="P187" s="11" t="b">
        <f t="shared" si="26"/>
        <v>0</v>
      </c>
      <c r="Q187" s="11" t="b">
        <f t="shared" si="26"/>
        <v>0</v>
      </c>
      <c r="R187" s="11" t="b">
        <f t="shared" si="26"/>
        <v>0</v>
      </c>
      <c r="S187" s="11" t="b">
        <f t="shared" si="26"/>
        <v>0</v>
      </c>
      <c r="T187" s="11" t="b">
        <f t="shared" si="26"/>
        <v>0</v>
      </c>
    </row>
    <row r="188" spans="3:20" x14ac:dyDescent="0.3">
      <c r="D188" s="25" t="s">
        <v>132</v>
      </c>
      <c r="E188" s="40">
        <v>2</v>
      </c>
      <c r="F188" s="26">
        <f>CHOOSE(E188,AVERAGEIF($3:$3,TRUE,188:188),INDEX(188:188,$F$2),G188)</f>
        <v>1.2955457534702758E-2</v>
      </c>
      <c r="G188" s="44">
        <v>1.4E-2</v>
      </c>
      <c r="I188" s="31">
        <f>IF(I3,I187/I140,$F$188)</f>
        <v>1.2634906450601786E-2</v>
      </c>
      <c r="J188" s="31">
        <f t="shared" ref="J188:T188" si="27">IF(J3,J187/J140,$F$188)</f>
        <v>1.3211481123498327E-2</v>
      </c>
      <c r="K188" s="31">
        <f t="shared" si="27"/>
        <v>1.1342737313729333E-2</v>
      </c>
      <c r="L188" s="31">
        <f t="shared" si="27"/>
        <v>1.2955457534702758E-2</v>
      </c>
      <c r="M188" s="31">
        <f t="shared" si="27"/>
        <v>1.2955457534702758E-2</v>
      </c>
      <c r="N188" s="31">
        <f t="shared" si="27"/>
        <v>1.2955457534702758E-2</v>
      </c>
      <c r="O188" s="31">
        <f t="shared" si="27"/>
        <v>1.2955457534702758E-2</v>
      </c>
      <c r="P188" s="31">
        <f t="shared" si="27"/>
        <v>1.2955457534702758E-2</v>
      </c>
      <c r="Q188" s="31">
        <f t="shared" si="27"/>
        <v>1.2955457534702758E-2</v>
      </c>
      <c r="R188" s="31">
        <f t="shared" si="27"/>
        <v>1.2955457534702758E-2</v>
      </c>
      <c r="S188" s="31">
        <f t="shared" si="27"/>
        <v>1.2955457534702758E-2</v>
      </c>
      <c r="T188" s="31">
        <f t="shared" si="27"/>
        <v>1.2955457534702758E-2</v>
      </c>
    </row>
    <row r="190" spans="3:20" x14ac:dyDescent="0.3">
      <c r="C190" s="6" t="s">
        <v>146</v>
      </c>
    </row>
    <row r="191" spans="3:20" x14ac:dyDescent="0.3">
      <c r="D191" s="6" t="s">
        <v>135</v>
      </c>
      <c r="I191" s="11">
        <f>IF(I$3,I28)</f>
        <v>41723861.130000003</v>
      </c>
      <c r="J191" s="11">
        <f t="shared" ref="J191:T191" si="28">IF(J$3,J28)</f>
        <v>57158741.479999997</v>
      </c>
      <c r="K191" s="11">
        <f t="shared" si="28"/>
        <v>48440704.739999898</v>
      </c>
      <c r="L191" s="11">
        <f t="shared" si="28"/>
        <v>47010372.450000003</v>
      </c>
      <c r="M191" s="11" t="b">
        <f t="shared" si="28"/>
        <v>0</v>
      </c>
      <c r="N191" s="11" t="b">
        <f t="shared" si="28"/>
        <v>0</v>
      </c>
      <c r="O191" s="11" t="b">
        <f t="shared" si="28"/>
        <v>0</v>
      </c>
      <c r="P191" s="11" t="b">
        <f t="shared" si="28"/>
        <v>0</v>
      </c>
      <c r="Q191" s="11" t="b">
        <f t="shared" si="28"/>
        <v>0</v>
      </c>
      <c r="R191" s="11" t="b">
        <f t="shared" si="28"/>
        <v>0</v>
      </c>
      <c r="S191" s="11" t="b">
        <f t="shared" si="28"/>
        <v>0</v>
      </c>
      <c r="T191" s="11" t="b">
        <f t="shared" si="28"/>
        <v>0</v>
      </c>
    </row>
    <row r="192" spans="3:20" x14ac:dyDescent="0.3">
      <c r="D192" s="25" t="s">
        <v>148</v>
      </c>
      <c r="E192" s="40">
        <v>1</v>
      </c>
      <c r="F192" s="26">
        <f>CHOOSE(E192,AVERAGEIF($3:$3,TRUE,192:192),INDEX(192:192,$F$2),G192)</f>
        <v>4.3491504471173482E-2</v>
      </c>
      <c r="G192" s="43">
        <v>0.05</v>
      </c>
      <c r="I192" s="31">
        <f>IF(I3,I191/I147,$F$192)</f>
        <v>4.3591908229592739E-2</v>
      </c>
      <c r="J192" s="31">
        <f t="shared" ref="J192:T192" si="29">IF(J3,J191/J147,$F$192)</f>
        <v>6.4895743633189007E-2</v>
      </c>
      <c r="K192" s="31">
        <f t="shared" si="29"/>
        <v>3.1229767194268371E-2</v>
      </c>
      <c r="L192" s="31">
        <f t="shared" si="29"/>
        <v>3.4248598827643813E-2</v>
      </c>
      <c r="M192" s="31">
        <f t="shared" si="29"/>
        <v>4.3491504471173482E-2</v>
      </c>
      <c r="N192" s="31">
        <f t="shared" si="29"/>
        <v>4.3491504471173482E-2</v>
      </c>
      <c r="O192" s="31">
        <f t="shared" si="29"/>
        <v>4.3491504471173482E-2</v>
      </c>
      <c r="P192" s="31">
        <f t="shared" si="29"/>
        <v>4.3491504471173482E-2</v>
      </c>
      <c r="Q192" s="31">
        <f t="shared" si="29"/>
        <v>4.3491504471173482E-2</v>
      </c>
      <c r="R192" s="31">
        <f t="shared" si="29"/>
        <v>4.3491504471173482E-2</v>
      </c>
      <c r="S192" s="31">
        <f t="shared" si="29"/>
        <v>4.3491504471173482E-2</v>
      </c>
      <c r="T192" s="31">
        <f t="shared" si="29"/>
        <v>4.3491504471173482E-2</v>
      </c>
    </row>
    <row r="194" spans="3:20" x14ac:dyDescent="0.3">
      <c r="C194" s="6" t="s">
        <v>147</v>
      </c>
    </row>
    <row r="195" spans="3:20" x14ac:dyDescent="0.3">
      <c r="D195" s="6" t="s">
        <v>135</v>
      </c>
      <c r="I195" s="11">
        <f>IF(I$3,I29)</f>
        <v>187229390.90000001</v>
      </c>
      <c r="J195" s="11">
        <f t="shared" ref="J195:T195" si="30">IF(J$3,J29)</f>
        <v>374690412.97000003</v>
      </c>
      <c r="K195" s="11">
        <f t="shared" si="30"/>
        <v>341285507.56999999</v>
      </c>
      <c r="L195" s="11">
        <f t="shared" si="30"/>
        <v>321647724.83999997</v>
      </c>
      <c r="M195" s="11" t="b">
        <f t="shared" si="30"/>
        <v>0</v>
      </c>
      <c r="N195" s="11" t="b">
        <f t="shared" si="30"/>
        <v>0</v>
      </c>
      <c r="O195" s="11" t="b">
        <f t="shared" si="30"/>
        <v>0</v>
      </c>
      <c r="P195" s="11" t="b">
        <f t="shared" si="30"/>
        <v>0</v>
      </c>
      <c r="Q195" s="11" t="b">
        <f t="shared" si="30"/>
        <v>0</v>
      </c>
      <c r="R195" s="11" t="b">
        <f t="shared" si="30"/>
        <v>0</v>
      </c>
      <c r="S195" s="11" t="b">
        <f t="shared" si="30"/>
        <v>0</v>
      </c>
      <c r="T195" s="11" t="b">
        <f t="shared" si="30"/>
        <v>0</v>
      </c>
    </row>
    <row r="196" spans="3:20" x14ac:dyDescent="0.3">
      <c r="D196" s="25" t="s">
        <v>184</v>
      </c>
      <c r="E196" s="40">
        <v>3</v>
      </c>
      <c r="F196" s="26">
        <f>CHOOSE(E196,AVERAGEIF($3:$3,TRUE,196:196),INDEX(196:196,$F$2),G196)</f>
        <v>7.0000000000000007E-2</v>
      </c>
      <c r="G196" s="44">
        <v>7.0000000000000007E-2</v>
      </c>
      <c r="I196" s="31">
        <f>IF(I3,I195/I140,$F$196)</f>
        <v>4.9475375321808256E-2</v>
      </c>
      <c r="J196" s="31">
        <f>IF(J3,J195/J140,$F$196)</f>
        <v>9.6458896403158523E-2</v>
      </c>
      <c r="K196" s="31">
        <f>IF(K3,K195/K140,$F$196)</f>
        <v>6.2268763421389615E-2</v>
      </c>
      <c r="L196" s="31">
        <f>IF(L3,L195/L140,$F$196)</f>
        <v>6.3057263778031683E-2</v>
      </c>
      <c r="M196" s="31">
        <f>IF(M3,M195/M140,$F$196)</f>
        <v>7.0000000000000007E-2</v>
      </c>
      <c r="N196" s="31">
        <f>IF(N3,N195/N140,$F$196)</f>
        <v>7.0000000000000007E-2</v>
      </c>
      <c r="O196" s="31">
        <f>IF(O3,O195/O140,$F$196)</f>
        <v>7.0000000000000007E-2</v>
      </c>
      <c r="P196" s="31">
        <f>IF(P3,P195/P140,$F$196)</f>
        <v>7.0000000000000007E-2</v>
      </c>
      <c r="Q196" s="31">
        <f>IF(Q3,Q195/Q140,$F$196)</f>
        <v>7.0000000000000007E-2</v>
      </c>
      <c r="R196" s="31">
        <f>IF(R3,R195/R140,$F$196)</f>
        <v>7.0000000000000007E-2</v>
      </c>
      <c r="S196" s="31">
        <f>IF(S3,S195/S140,$F$196)</f>
        <v>7.0000000000000007E-2</v>
      </c>
      <c r="T196" s="31">
        <f>IF(T3,T195/T140,$F$196)</f>
        <v>7.0000000000000007E-2</v>
      </c>
    </row>
    <row r="198" spans="3:20" x14ac:dyDescent="0.3">
      <c r="C198" s="6" t="s">
        <v>152</v>
      </c>
    </row>
    <row r="199" spans="3:20" x14ac:dyDescent="0.3">
      <c r="D199" s="6" t="s">
        <v>135</v>
      </c>
      <c r="I199" s="11">
        <f>IF(I3,I25)</f>
        <v>0</v>
      </c>
      <c r="J199" s="11">
        <f>IF(J3,J25)</f>
        <v>25464384.059999999</v>
      </c>
      <c r="K199" s="11">
        <f>IF(K3,K25)</f>
        <v>111089044.38</v>
      </c>
      <c r="L199" s="11">
        <f>IF(L3,L25)</f>
        <v>129358336.3</v>
      </c>
      <c r="M199" s="11" t="b">
        <f>IF(M3,M25)</f>
        <v>0</v>
      </c>
      <c r="N199" s="11" t="b">
        <f>IF(N3,N25)</f>
        <v>0</v>
      </c>
      <c r="O199" s="11" t="b">
        <f>IF(O3,O25)</f>
        <v>0</v>
      </c>
      <c r="P199" s="11" t="b">
        <f>IF(P3,P25)</f>
        <v>0</v>
      </c>
      <c r="Q199" s="11" t="b">
        <f>IF(Q3,Q25)</f>
        <v>0</v>
      </c>
      <c r="R199" s="11" t="b">
        <f>IF(R3,R25)</f>
        <v>0</v>
      </c>
      <c r="S199" s="11" t="b">
        <f>IF(S3,S25)</f>
        <v>0</v>
      </c>
      <c r="T199" s="11" t="b">
        <f>IF(T3,T25)</f>
        <v>0</v>
      </c>
    </row>
    <row r="200" spans="3:20" x14ac:dyDescent="0.3">
      <c r="D200" s="6" t="s">
        <v>153</v>
      </c>
      <c r="E200" s="40">
        <v>2</v>
      </c>
      <c r="F200" s="26">
        <f>CHOOSE(E200,AVERAGEIF($3:$3,TRUE,200:200),INDEX(200:200,$F$2),G200)</f>
        <v>0.12517440851316325</v>
      </c>
      <c r="G200" s="44">
        <v>0.1</v>
      </c>
      <c r="I200" s="32"/>
      <c r="J200" s="32">
        <f>IF(J3,J199/I85,$F$200)</f>
        <v>3.0212644665502594E-2</v>
      </c>
      <c r="K200" s="32">
        <f>IF(K3,K199/J85,$F$200)</f>
        <v>0.1071628047841874</v>
      </c>
      <c r="L200" s="32">
        <f>IF(L3,L199/K85,$F$200)</f>
        <v>0.12517440851316325</v>
      </c>
      <c r="M200" s="32">
        <f>IF(M3,M199/L85,$F$200)</f>
        <v>0.12517440851316325</v>
      </c>
      <c r="N200" s="32">
        <f>IF(N3,N199/M85,$F$200)</f>
        <v>0.12517440851316325</v>
      </c>
      <c r="O200" s="32">
        <f>IF(O3,O199/N85,$F$200)</f>
        <v>0.12517440851316325</v>
      </c>
      <c r="P200" s="32">
        <f>IF(P3,P199/O85,$F$200)</f>
        <v>0.12517440851316325</v>
      </c>
      <c r="Q200" s="32">
        <f>IF(Q3,Q199/P85,$F$200)</f>
        <v>0.12517440851316325</v>
      </c>
      <c r="R200" s="32">
        <f>IF(R3,R199/Q85,$F$200)</f>
        <v>0.12517440851316325</v>
      </c>
      <c r="S200" s="32">
        <f>IF(S3,S199/R85,$F$200)</f>
        <v>0.12517440851316325</v>
      </c>
      <c r="T200" s="32">
        <f>IF(T3,T199/S85,$F$200)</f>
        <v>0.12517440851316325</v>
      </c>
    </row>
    <row r="202" spans="3:20" x14ac:dyDescent="0.3">
      <c r="C202" s="6" t="s">
        <v>154</v>
      </c>
    </row>
    <row r="203" spans="3:20" x14ac:dyDescent="0.3">
      <c r="D203" s="6" t="s">
        <v>135</v>
      </c>
      <c r="I203" s="11">
        <f>IF(I3,I46)</f>
        <v>85900300</v>
      </c>
      <c r="J203" s="11">
        <f>IF(J3,J46)</f>
        <v>77359000</v>
      </c>
      <c r="K203" s="11">
        <f>IF(K3,K46)</f>
        <v>108336134.38</v>
      </c>
      <c r="L203" s="11">
        <f>IF(L3,L46)</f>
        <v>62029953.939999998</v>
      </c>
      <c r="M203" s="11" t="b">
        <f>IF(M3,M46)</f>
        <v>0</v>
      </c>
      <c r="N203" s="11" t="b">
        <f>IF(N3,N46)</f>
        <v>0</v>
      </c>
      <c r="O203" s="11" t="b">
        <f>IF(O3,O46)</f>
        <v>0</v>
      </c>
      <c r="P203" s="11" t="b">
        <f>IF(P3,P46)</f>
        <v>0</v>
      </c>
      <c r="Q203" s="11" t="b">
        <f>IF(Q3,Q46)</f>
        <v>0</v>
      </c>
      <c r="R203" s="11" t="b">
        <f>IF(R3,R46)</f>
        <v>0</v>
      </c>
      <c r="S203" s="11" t="b">
        <f>IF(S3,S46)</f>
        <v>0</v>
      </c>
      <c r="T203" s="11" t="b">
        <f>IF(T3,T46)</f>
        <v>0</v>
      </c>
    </row>
    <row r="204" spans="3:20" x14ac:dyDescent="0.3">
      <c r="D204" s="25" t="s">
        <v>155</v>
      </c>
      <c r="E204" s="40">
        <v>3</v>
      </c>
      <c r="F204" s="26">
        <f>CHOOSE(E204,AVERAGEIF($3:$3,TRUE,204:204),INDEX(204:204,$F$2),G204)</f>
        <v>0.1</v>
      </c>
      <c r="G204" s="43">
        <v>0.1</v>
      </c>
      <c r="I204" s="31">
        <f>IF(I3,I203/I45,$F$204)</f>
        <v>7.179876254038571E-2</v>
      </c>
      <c r="J204" s="31">
        <f>IF(J3,J203/J45,$F$204)</f>
        <v>0.10032390726027698</v>
      </c>
      <c r="K204" s="31">
        <f>IF(K3,K203/K45,$F$204)</f>
        <v>7.6653281349280164E-2</v>
      </c>
      <c r="L204" s="31">
        <f>IF(L3,L203/L45,$F$204)</f>
        <v>7.5370154818923507E-2</v>
      </c>
      <c r="M204" s="31">
        <f>IF(M3,M203/M45,$F$204)</f>
        <v>0.1</v>
      </c>
      <c r="N204" s="31">
        <f>IF(N3,N203/N45,$F$204)</f>
        <v>0.1</v>
      </c>
      <c r="O204" s="31">
        <f>IF(O3,O203/O45,$F$204)</f>
        <v>0.1</v>
      </c>
      <c r="P204" s="31">
        <f>IF(P3,P203/P45,$F$204)</f>
        <v>0.1</v>
      </c>
      <c r="Q204" s="31">
        <f>IF(Q3,Q203/Q45,$F$204)</f>
        <v>0.1</v>
      </c>
      <c r="R204" s="31">
        <f>IF(R3,R203/R45,$F$204)</f>
        <v>0.1</v>
      </c>
      <c r="S204" s="31">
        <f>IF(S3,S203/S45,$F$204)</f>
        <v>0.1</v>
      </c>
      <c r="T204" s="31">
        <f>IF(T3,T203/T45,$F$204)</f>
        <v>0.1</v>
      </c>
    </row>
    <row r="206" spans="3:20" x14ac:dyDescent="0.3">
      <c r="C206" s="6" t="s">
        <v>156</v>
      </c>
    </row>
    <row r="207" spans="3:20" x14ac:dyDescent="0.3">
      <c r="D207" s="6" t="s">
        <v>157</v>
      </c>
      <c r="E207" s="34">
        <v>3</v>
      </c>
      <c r="F207" s="19">
        <f>CHOOSE(E207,AVERAGEIF($3:$3,TRUE,207:207),INDEX(207:207,$F$2),G207)</f>
        <v>0</v>
      </c>
      <c r="G207" s="34">
        <v>0</v>
      </c>
      <c r="I207" s="11">
        <f>IF(I$3,I34,$F$207)</f>
        <v>77126</v>
      </c>
      <c r="J207" s="11">
        <f>IF(J$3,J34,$F$207)</f>
        <v>4983537.1399999997</v>
      </c>
      <c r="K207" s="11">
        <f>IF(K$3,K34,$F$207)</f>
        <v>6616989.9000000004</v>
      </c>
      <c r="L207" s="11">
        <f>IF(L$3,L34,$F$207)</f>
        <v>52996657.210000001</v>
      </c>
      <c r="M207" s="11">
        <f>IF(M$3,M34,$F$207)</f>
        <v>0</v>
      </c>
      <c r="N207" s="11">
        <f>IF(N$3,N34,$F$207)</f>
        <v>0</v>
      </c>
      <c r="O207" s="11">
        <f>IF(O$3,O34,$F$207)</f>
        <v>0</v>
      </c>
      <c r="P207" s="11">
        <f>IF(P$3,P34,$F$207)</f>
        <v>0</v>
      </c>
      <c r="Q207" s="11">
        <f>IF(Q$3,Q34,$F$207)</f>
        <v>0</v>
      </c>
      <c r="R207" s="11">
        <f>IF(R$3,R34,$F$207)</f>
        <v>0</v>
      </c>
      <c r="S207" s="11">
        <f>IF(S$3,S34,$F$207)</f>
        <v>0</v>
      </c>
      <c r="T207" s="11">
        <f>IF(T$3,T34,$F$207)</f>
        <v>0</v>
      </c>
    </row>
    <row r="208" spans="3:20" x14ac:dyDescent="0.3">
      <c r="D208" s="25" t="s">
        <v>158</v>
      </c>
      <c r="E208" s="34">
        <v>3</v>
      </c>
      <c r="F208" s="19">
        <f>CHOOSE(E208,AVERAGEIF($3:$3,TRUE,208:208),INDEX(208:208,$F$2),G208)</f>
        <v>0</v>
      </c>
      <c r="G208" s="34">
        <v>0</v>
      </c>
      <c r="I208" s="11">
        <f>IF(I$3,I39,$F$208)</f>
        <v>3809961.38</v>
      </c>
      <c r="J208" s="11">
        <f>IF(J$3,J39,$F$208)</f>
        <v>8183528.5999999996</v>
      </c>
      <c r="K208" s="11">
        <f>IF(K$3,K39,$F$208)</f>
        <v>27515311.129999999</v>
      </c>
      <c r="L208" s="11">
        <f>IF(L$3,L39,$F$208)</f>
        <v>127792679.98999999</v>
      </c>
      <c r="M208" s="11">
        <f>IF(M$3,M39,$F$208)</f>
        <v>0</v>
      </c>
      <c r="N208" s="11">
        <f>IF(N$3,N39,$F$208)</f>
        <v>0</v>
      </c>
      <c r="O208" s="11">
        <f>IF(O$3,O39,$F$208)</f>
        <v>0</v>
      </c>
      <c r="P208" s="11">
        <f>IF(P$3,P39,$F$208)</f>
        <v>0</v>
      </c>
      <c r="Q208" s="11">
        <f>IF(Q$3,Q39,$F$208)</f>
        <v>0</v>
      </c>
      <c r="R208" s="11">
        <f>IF(R$3,R39,$F$208)</f>
        <v>0</v>
      </c>
      <c r="S208" s="11">
        <f>IF(S$3,S39,$F$208)</f>
        <v>0</v>
      </c>
      <c r="T208" s="11">
        <f>IF(T$3,T39,$F$208)</f>
        <v>0</v>
      </c>
    </row>
    <row r="209" spans="2:20" x14ac:dyDescent="0.3">
      <c r="D209" s="25" t="s">
        <v>156</v>
      </c>
      <c r="E209" s="34">
        <v>2</v>
      </c>
      <c r="F209" s="19">
        <f>CHOOSE(E209,AVERAGEIF($3:$3,TRUE,209:209),INDEX(209:209,$F$2),G209)</f>
        <v>1583600</v>
      </c>
      <c r="I209" s="11">
        <f>IF(I$3,I35,$F$209)</f>
        <v>10643597.439999999</v>
      </c>
      <c r="J209" s="11">
        <f>IF(J$3,J35,$F$209)</f>
        <v>0</v>
      </c>
      <c r="K209" s="11">
        <f>IF(K$3,K35,$F$209)</f>
        <v>0</v>
      </c>
      <c r="L209" s="11">
        <f>IF(L$3,L35,$F$209)</f>
        <v>1583600</v>
      </c>
      <c r="M209" s="11">
        <f>IF(M$3,M35,$F$209)</f>
        <v>1583600</v>
      </c>
      <c r="N209" s="11">
        <f>IF(N$3,N35,$F$209)</f>
        <v>1583600</v>
      </c>
      <c r="O209" s="11">
        <f>IF(O$3,O35,$F$209)</f>
        <v>1583600</v>
      </c>
      <c r="P209" s="11">
        <f>IF(P$3,P35,$F$209)</f>
        <v>1583600</v>
      </c>
      <c r="Q209" s="11">
        <f>IF(Q$3,Q35,$F$209)</f>
        <v>1583600</v>
      </c>
      <c r="R209" s="11">
        <f>IF(R$3,R35,$F$209)</f>
        <v>1583600</v>
      </c>
      <c r="S209" s="11">
        <f>IF(S$3,S35,$F$209)</f>
        <v>1583600</v>
      </c>
      <c r="T209" s="11">
        <f>IF(T$3,T35,$F$209)</f>
        <v>1583600</v>
      </c>
    </row>
    <row r="210" spans="2:20" x14ac:dyDescent="0.3">
      <c r="D210" s="25" t="s">
        <v>147</v>
      </c>
      <c r="E210" s="34">
        <v>2</v>
      </c>
      <c r="F210" s="19">
        <f>CHOOSE(E210,AVERAGEIF($3:$3,TRUE,210:210),INDEX(210:210,$F$2),G210)</f>
        <v>35266543.189999998</v>
      </c>
      <c r="I210" s="11">
        <f>IF(I$3,I40,$F$210)</f>
        <v>246125</v>
      </c>
      <c r="J210" s="11">
        <f>IF(J$3,J40,$F$210)</f>
        <v>4146426.88</v>
      </c>
      <c r="K210" s="11">
        <f>IF(K$3,K40,$F$210)</f>
        <v>1625000</v>
      </c>
      <c r="L210" s="11">
        <f>IF(L$3,L40,$F$210)</f>
        <v>35266543.189999998</v>
      </c>
      <c r="M210" s="11">
        <f>IF(M$3,M40,$F$210)</f>
        <v>35266543.189999998</v>
      </c>
      <c r="N210" s="11">
        <f>IF(N$3,N40,$F$210)</f>
        <v>35266543.189999998</v>
      </c>
      <c r="O210" s="11">
        <f>IF(O$3,O40,$F$210)</f>
        <v>35266543.189999998</v>
      </c>
      <c r="P210" s="11">
        <f>IF(P$3,P40,$F$210)</f>
        <v>35266543.189999998</v>
      </c>
      <c r="Q210" s="11">
        <f>IF(Q$3,Q40,$F$210)</f>
        <v>35266543.189999998</v>
      </c>
      <c r="R210" s="11">
        <f>IF(R$3,R40,$F$210)</f>
        <v>35266543.189999998</v>
      </c>
      <c r="S210" s="11">
        <f>IF(S$3,S40,$F$210)</f>
        <v>35266543.189999998</v>
      </c>
      <c r="T210" s="11">
        <f>IF(T$3,T40,$F$210)</f>
        <v>35266543.189999998</v>
      </c>
    </row>
    <row r="211" spans="2:20" x14ac:dyDescent="0.3">
      <c r="D211" s="25" t="s">
        <v>159</v>
      </c>
      <c r="E211" s="34">
        <v>2</v>
      </c>
      <c r="F211" s="19">
        <f>CHOOSE(E211,AVERAGEIF($3:$3,TRUE,211:211),INDEX(211:211,$F$2),G211)</f>
        <v>0</v>
      </c>
      <c r="I211" s="11">
        <f>IF(I$3,I42,$F$211)</f>
        <v>0</v>
      </c>
      <c r="J211" s="11">
        <f>IF(J$3,J42,$F$211)</f>
        <v>0</v>
      </c>
      <c r="K211" s="11">
        <f>IF(K$3,K42,$F$211)</f>
        <v>0</v>
      </c>
      <c r="L211" s="11">
        <f>IF(L$3,L42,$F$211)</f>
        <v>0</v>
      </c>
      <c r="M211" s="11">
        <f>IF(M$3,M42,$F$211)</f>
        <v>0</v>
      </c>
      <c r="N211" s="11">
        <f>IF(N$3,N42,$F$211)</f>
        <v>0</v>
      </c>
      <c r="O211" s="11">
        <f>IF(O$3,O42,$F$211)</f>
        <v>0</v>
      </c>
      <c r="P211" s="11">
        <f>IF(P$3,P42,$F$211)</f>
        <v>0</v>
      </c>
      <c r="Q211" s="11">
        <f>IF(Q$3,Q42,$F$211)</f>
        <v>0</v>
      </c>
      <c r="R211" s="11">
        <f>IF(R$3,R42,$F$211)</f>
        <v>0</v>
      </c>
      <c r="S211" s="11">
        <f>IF(S$3,S42,$F$211)</f>
        <v>0</v>
      </c>
      <c r="T211" s="11">
        <f>IF(T$3,T42,$F$211)</f>
        <v>0</v>
      </c>
    </row>
    <row r="212" spans="2:20" x14ac:dyDescent="0.3">
      <c r="D212" s="25" t="s">
        <v>160</v>
      </c>
      <c r="E212" s="34">
        <v>2</v>
      </c>
      <c r="F212" s="19">
        <f>CHOOSE(E212,AVERAGEIF($3:$3,TRUE,212:212),INDEX(212:212,$F$2),G212)</f>
        <v>0</v>
      </c>
      <c r="I212" s="11">
        <f>IF(I$3,I43,$F$212)</f>
        <v>0</v>
      </c>
      <c r="J212" s="11">
        <f>IF(J$3,J43,$F$212)</f>
        <v>0</v>
      </c>
      <c r="K212" s="11">
        <f>IF(K$3,K43,$F$212)</f>
        <v>0</v>
      </c>
      <c r="L212" s="11">
        <f>IF(L$3,L43,$F$212)</f>
        <v>0</v>
      </c>
      <c r="M212" s="11">
        <f>IF(M$3,M43,$F$212)</f>
        <v>0</v>
      </c>
      <c r="N212" s="11">
        <f>IF(N$3,N43,$F$212)</f>
        <v>0</v>
      </c>
      <c r="O212" s="11">
        <f>IF(O$3,O43,$F$212)</f>
        <v>0</v>
      </c>
      <c r="P212" s="11">
        <f>IF(P$3,P43,$F$212)</f>
        <v>0</v>
      </c>
      <c r="Q212" s="11">
        <f>IF(Q$3,Q43,$F$212)</f>
        <v>0</v>
      </c>
      <c r="R212" s="11">
        <f>IF(R$3,R43,$F$212)</f>
        <v>0</v>
      </c>
      <c r="S212" s="11">
        <f>IF(S$3,S43,$F$212)</f>
        <v>0</v>
      </c>
      <c r="T212" s="11">
        <f>IF(T$3,T43,$F$212)</f>
        <v>0</v>
      </c>
    </row>
    <row r="213" spans="2:20" x14ac:dyDescent="0.3">
      <c r="D213" s="25" t="s">
        <v>161</v>
      </c>
      <c r="E213" s="34">
        <v>2</v>
      </c>
      <c r="F213" s="19">
        <f>CHOOSE(E213,AVERAGEIF($3:$3,TRUE,213:213),INDEX(213:213,$F$2),G213)</f>
        <v>0</v>
      </c>
      <c r="I213" s="11">
        <f>IF(I$3,I44,$F$213)</f>
        <v>0</v>
      </c>
      <c r="J213" s="11">
        <f>IF(J$3,J44,$F$213)</f>
        <v>0</v>
      </c>
      <c r="K213" s="11">
        <f>IF(K$3,K44,$F$213)</f>
        <v>0</v>
      </c>
      <c r="L213" s="11">
        <f>IF(L$3,L44,$F$213)</f>
        <v>0</v>
      </c>
      <c r="M213" s="11">
        <f>IF(M$3,M44,$F$213)</f>
        <v>0</v>
      </c>
      <c r="N213" s="11">
        <f>IF(N$3,N44,$F$213)</f>
        <v>0</v>
      </c>
      <c r="O213" s="11">
        <f>IF(O$3,O44,$F$213)</f>
        <v>0</v>
      </c>
      <c r="P213" s="11">
        <f>IF(P$3,P44,$F$213)</f>
        <v>0</v>
      </c>
      <c r="Q213" s="11">
        <f>IF(Q$3,Q44,$F$213)</f>
        <v>0</v>
      </c>
      <c r="R213" s="11">
        <f>IF(R$3,R44,$F$213)</f>
        <v>0</v>
      </c>
      <c r="S213" s="11">
        <f>IF(S$3,S44,$F$213)</f>
        <v>0</v>
      </c>
      <c r="T213" s="11">
        <f>IF(T$3,T44,$F$213)</f>
        <v>0</v>
      </c>
    </row>
    <row r="214" spans="2:20" x14ac:dyDescent="0.3">
      <c r="D214" s="25" t="s">
        <v>199</v>
      </c>
      <c r="F214" s="19"/>
      <c r="I214" s="11">
        <f>I207-I208+I209-I210+I211-I212+I213</f>
        <v>6664637.0599999996</v>
      </c>
      <c r="J214" s="11">
        <f t="shared" ref="J214:T214" si="31">J207-J208+J209-J210+J211-J212+J213</f>
        <v>-7346418.3399999999</v>
      </c>
      <c r="K214" s="11">
        <f t="shared" si="31"/>
        <v>-22523321.229999997</v>
      </c>
      <c r="L214" s="11">
        <f t="shared" si="31"/>
        <v>-108478965.97</v>
      </c>
      <c r="M214" s="11">
        <f t="shared" si="31"/>
        <v>-33682943.189999998</v>
      </c>
      <c r="N214" s="11">
        <f t="shared" si="31"/>
        <v>-33682943.189999998</v>
      </c>
      <c r="O214" s="11">
        <f t="shared" si="31"/>
        <v>-33682943.189999998</v>
      </c>
      <c r="P214" s="11">
        <f t="shared" si="31"/>
        <v>-33682943.189999998</v>
      </c>
      <c r="Q214" s="11">
        <f t="shared" si="31"/>
        <v>-33682943.189999998</v>
      </c>
      <c r="R214" s="11">
        <f t="shared" si="31"/>
        <v>-33682943.189999998</v>
      </c>
      <c r="S214" s="11">
        <f t="shared" si="31"/>
        <v>-33682943.189999998</v>
      </c>
      <c r="T214" s="11">
        <f t="shared" si="31"/>
        <v>-33682943.189999998</v>
      </c>
    </row>
    <row r="216" spans="2:20" x14ac:dyDescent="0.3">
      <c r="B216" s="6" t="s">
        <v>163</v>
      </c>
    </row>
    <row r="217" spans="2:20" x14ac:dyDescent="0.3">
      <c r="C217" s="6" t="s">
        <v>164</v>
      </c>
      <c r="J217" s="11">
        <f>IF(J3,J85-I85)</f>
        <v>193799450.98000002</v>
      </c>
      <c r="K217" s="11">
        <f>IF(K3,K85-J85)</f>
        <v>-3213295.9327999353</v>
      </c>
      <c r="L217" s="11">
        <f>IF(L3,L85-K85)</f>
        <v>38953997.610000014</v>
      </c>
      <c r="M217" s="11" t="b">
        <f>IF(M3,M85-L85)</f>
        <v>0</v>
      </c>
      <c r="N217" s="11" t="b">
        <f>IF(N3,N85-M85)</f>
        <v>0</v>
      </c>
      <c r="O217" s="11" t="b">
        <f>IF(O3,O85-N85)</f>
        <v>0</v>
      </c>
      <c r="P217" s="11" t="b">
        <f>IF(P3,P85-O85)</f>
        <v>0</v>
      </c>
      <c r="Q217" s="11" t="b">
        <f>IF(Q3,Q85-P85)</f>
        <v>0</v>
      </c>
      <c r="R217" s="11" t="b">
        <f>IF(R3,R85-Q85)</f>
        <v>0</v>
      </c>
      <c r="S217" s="11" t="b">
        <f>IF(S3,S85-R85)</f>
        <v>0</v>
      </c>
      <c r="T217" s="11" t="b">
        <f>IF(T3,T85-S85)</f>
        <v>0</v>
      </c>
    </row>
    <row r="218" spans="2:20" x14ac:dyDescent="0.3">
      <c r="C218" s="6" t="s">
        <v>165</v>
      </c>
      <c r="G218" s="6" t="s">
        <v>271</v>
      </c>
      <c r="H218" s="6" t="s">
        <v>272</v>
      </c>
      <c r="J218" s="11">
        <f>J199</f>
        <v>25464384.059999999</v>
      </c>
      <c r="K218" s="11">
        <f t="shared" ref="K218:T218" si="32">K199</f>
        <v>111089044.38</v>
      </c>
      <c r="L218" s="11">
        <f t="shared" si="32"/>
        <v>129358336.3</v>
      </c>
      <c r="M218" s="11" t="b">
        <f t="shared" si="32"/>
        <v>0</v>
      </c>
      <c r="N218" s="11" t="b">
        <f t="shared" si="32"/>
        <v>0</v>
      </c>
      <c r="O218" s="11" t="b">
        <f t="shared" si="32"/>
        <v>0</v>
      </c>
      <c r="P218" s="11" t="b">
        <f t="shared" si="32"/>
        <v>0</v>
      </c>
      <c r="Q218" s="11" t="b">
        <f t="shared" si="32"/>
        <v>0</v>
      </c>
      <c r="R218" s="11" t="b">
        <f t="shared" si="32"/>
        <v>0</v>
      </c>
      <c r="S218" s="11" t="b">
        <f t="shared" si="32"/>
        <v>0</v>
      </c>
      <c r="T218" s="11" t="b">
        <f t="shared" si="32"/>
        <v>0</v>
      </c>
    </row>
    <row r="219" spans="2:20" x14ac:dyDescent="0.3">
      <c r="C219" s="6" t="s">
        <v>181</v>
      </c>
      <c r="I219" s="11">
        <f>IF(I3,1,H219*(1+$H$220))</f>
        <v>1</v>
      </c>
      <c r="J219" s="11">
        <f>IF(J3,1,I219*(1+$H$220))</f>
        <v>1</v>
      </c>
      <c r="K219" s="11">
        <f t="shared" ref="K219:T219" si="33">IF(K3,1,J219*(1+$H$220))</f>
        <v>1</v>
      </c>
      <c r="L219" s="11">
        <f t="shared" si="33"/>
        <v>1</v>
      </c>
      <c r="M219" s="11">
        <f t="shared" si="33"/>
        <v>1.1000000000000001</v>
      </c>
      <c r="N219" s="11">
        <f t="shared" si="33"/>
        <v>1.2100000000000002</v>
      </c>
      <c r="O219" s="11">
        <f t="shared" si="33"/>
        <v>1.3310000000000004</v>
      </c>
      <c r="P219" s="11">
        <f t="shared" si="33"/>
        <v>1.4641000000000006</v>
      </c>
      <c r="Q219" s="11">
        <f t="shared" si="33"/>
        <v>1.6105100000000008</v>
      </c>
      <c r="R219" s="11">
        <f t="shared" si="33"/>
        <v>1.7715610000000011</v>
      </c>
      <c r="S219" s="11">
        <f t="shared" si="33"/>
        <v>1.9487171000000014</v>
      </c>
      <c r="T219" s="11">
        <f t="shared" si="33"/>
        <v>2.1435888100000016</v>
      </c>
    </row>
    <row r="220" spans="2:20" x14ac:dyDescent="0.3">
      <c r="C220" s="6" t="s">
        <v>166</v>
      </c>
      <c r="E220" s="40">
        <v>2</v>
      </c>
      <c r="F220" s="55">
        <f>CHOOSE(E220,AVERAGEIF($3:$3,TRUE,220:220),INDEX(220:220,$F$2),G220)</f>
        <v>168312333.91000003</v>
      </c>
      <c r="G220" s="45">
        <v>300000000</v>
      </c>
      <c r="H220" s="43">
        <v>0.1</v>
      </c>
      <c r="J220" s="11">
        <f>IF(J3,J217+J218,$F$220)*J219</f>
        <v>219263835.04000002</v>
      </c>
      <c r="K220" s="11">
        <f t="shared" ref="K220:T220" si="34">IF(K3,K217+K218,$F$220)*K219</f>
        <v>107875748.44720006</v>
      </c>
      <c r="L220" s="11">
        <f t="shared" si="34"/>
        <v>168312333.91000003</v>
      </c>
      <c r="M220" s="11">
        <f t="shared" si="34"/>
        <v>185143567.30100006</v>
      </c>
      <c r="N220" s="11">
        <f t="shared" si="34"/>
        <v>203657924.03110006</v>
      </c>
      <c r="O220" s="11">
        <f t="shared" si="34"/>
        <v>224023716.43421009</v>
      </c>
      <c r="P220" s="11">
        <f t="shared" si="34"/>
        <v>246426088.07763115</v>
      </c>
      <c r="Q220" s="11">
        <f t="shared" si="34"/>
        <v>271068696.88539428</v>
      </c>
      <c r="R220" s="11">
        <f t="shared" si="34"/>
        <v>298175566.57393372</v>
      </c>
      <c r="S220" s="11">
        <f t="shared" si="34"/>
        <v>327993123.23132718</v>
      </c>
      <c r="T220" s="11">
        <f t="shared" si="34"/>
        <v>360792435.55445987</v>
      </c>
    </row>
    <row r="222" spans="2:20" x14ac:dyDescent="0.3">
      <c r="C222" s="25" t="s">
        <v>167</v>
      </c>
      <c r="I222" s="11">
        <f>IF(I3,I61)</f>
        <v>1245139764.7676899</v>
      </c>
      <c r="J222" s="11">
        <f>IF(J3,J61)</f>
        <v>2036003278.9981699</v>
      </c>
      <c r="K222" s="11">
        <f t="shared" ref="K222:T222" si="35">IF(K3,K61)</f>
        <v>1472013088.9761636</v>
      </c>
      <c r="L222" s="11">
        <f t="shared" si="35"/>
        <v>614928927.08496583</v>
      </c>
      <c r="M222" s="11" t="b">
        <f t="shared" si="35"/>
        <v>0</v>
      </c>
      <c r="N222" s="11" t="b">
        <f t="shared" si="35"/>
        <v>0</v>
      </c>
      <c r="O222" s="11" t="b">
        <f t="shared" si="35"/>
        <v>0</v>
      </c>
      <c r="P222" s="11" t="b">
        <f t="shared" si="35"/>
        <v>0</v>
      </c>
      <c r="Q222" s="11" t="b">
        <f t="shared" si="35"/>
        <v>0</v>
      </c>
      <c r="R222" s="11" t="b">
        <f t="shared" si="35"/>
        <v>0</v>
      </c>
      <c r="S222" s="11" t="b">
        <f t="shared" si="35"/>
        <v>0</v>
      </c>
      <c r="T222" s="11" t="b">
        <f t="shared" si="35"/>
        <v>0</v>
      </c>
    </row>
    <row r="223" spans="2:20" x14ac:dyDescent="0.3">
      <c r="C223" s="25" t="s">
        <v>168</v>
      </c>
      <c r="F223" s="31">
        <f>INDEX(223:223,$F$2)</f>
        <v>0.12055342713593653</v>
      </c>
      <c r="G223" s="43">
        <v>0.2</v>
      </c>
      <c r="I223" s="31">
        <f>IF(I3,I222/I140,$F$223)</f>
        <v>0.32902824120649049</v>
      </c>
      <c r="J223" s="31">
        <f>IF(J3,J222/J140,$F$223)</f>
        <v>0.52414105770328245</v>
      </c>
      <c r="K223" s="31">
        <f>IF(K3,K222/K140,$F$223)</f>
        <v>0.26857406118203098</v>
      </c>
      <c r="L223" s="31">
        <f>IF(L3,L222/L140,$F$223)</f>
        <v>0.12055342713593653</v>
      </c>
      <c r="M223" s="31">
        <f>IF(M3,M222/M140,$F$223)</f>
        <v>0.12055342713593653</v>
      </c>
      <c r="N223" s="31">
        <f>IF(N3,N222/N140,$F$223)</f>
        <v>0.12055342713593653</v>
      </c>
      <c r="O223" s="31">
        <f>IF(O3,O222/O140,$F$223)</f>
        <v>0.12055342713593653</v>
      </c>
      <c r="P223" s="31">
        <f>IF(P3,P222/P140,$F$223)</f>
        <v>0.12055342713593653</v>
      </c>
      <c r="Q223" s="31">
        <f>IF(Q3,Q222/Q140,$F$223)</f>
        <v>0.12055342713593653</v>
      </c>
      <c r="R223" s="31">
        <f>IF(R3,R222/R140,$F$223)</f>
        <v>0.12055342713593653</v>
      </c>
      <c r="S223" s="31">
        <f>IF(S3,S222/S140,$F$223)</f>
        <v>0.12055342713593653</v>
      </c>
      <c r="T223" s="31">
        <f>IF(T3,T222/T140,$F$223)</f>
        <v>0.12055342713593653</v>
      </c>
    </row>
    <row r="225" spans="1:20" x14ac:dyDescent="0.3">
      <c r="C225" s="25" t="s">
        <v>59</v>
      </c>
      <c r="I225" s="11">
        <f>IF(I3,I66)</f>
        <v>1092132238.2381248</v>
      </c>
      <c r="J225" s="11">
        <f>IF(J3,J66)</f>
        <v>1614585981.0089502</v>
      </c>
      <c r="K225" s="11">
        <f>IF(K3,K66)</f>
        <v>1501776768.6604426</v>
      </c>
      <c r="L225" s="11">
        <f>IF(L3,L66)</f>
        <v>1615311080.3556349</v>
      </c>
      <c r="M225" s="11" t="b">
        <f>IF(M3,M66)</f>
        <v>0</v>
      </c>
      <c r="N225" s="11" t="b">
        <f>IF(N3,N66)</f>
        <v>0</v>
      </c>
      <c r="O225" s="11" t="b">
        <f>IF(O3,O66)</f>
        <v>0</v>
      </c>
      <c r="P225" s="11" t="b">
        <f>IF(P3,P66)</f>
        <v>0</v>
      </c>
      <c r="Q225" s="11" t="b">
        <f>IF(Q3,Q66)</f>
        <v>0</v>
      </c>
      <c r="R225" s="11" t="b">
        <f>IF(R3,R66)</f>
        <v>0</v>
      </c>
      <c r="S225" s="11" t="b">
        <f>IF(S3,S66)</f>
        <v>0</v>
      </c>
      <c r="T225" s="11" t="b">
        <f>IF(T3,T66)</f>
        <v>0</v>
      </c>
    </row>
    <row r="226" spans="1:20" x14ac:dyDescent="0.3">
      <c r="C226" s="25" t="s">
        <v>169</v>
      </c>
      <c r="F226" s="31">
        <f>INDEX(226:226,$F$2)</f>
        <v>1.1768071234021473</v>
      </c>
      <c r="G226" s="43">
        <v>1</v>
      </c>
      <c r="I226" s="31">
        <f>IF(I3,I225/I147,$F$226)</f>
        <v>1.1410288265393824</v>
      </c>
      <c r="J226" s="31">
        <f>IF(J3,J225/J147,$F$226)</f>
        <v>1.8331361955189398</v>
      </c>
      <c r="K226" s="31">
        <f>IF(K3,K225/K147,$F$226)</f>
        <v>0.96819687316189018</v>
      </c>
      <c r="L226" s="31">
        <f>IF(L3,L225/L147,$F$226)</f>
        <v>1.1768071234021473</v>
      </c>
      <c r="M226" s="31">
        <f>IF(M3,M225/M147,$F$226)</f>
        <v>1.1768071234021473</v>
      </c>
      <c r="N226" s="31">
        <f>IF(N3,N225/N147,$F$226)</f>
        <v>1.1768071234021473</v>
      </c>
      <c r="O226" s="31">
        <f>IF(O3,O225/O147,$F$226)</f>
        <v>1.1768071234021473</v>
      </c>
      <c r="P226" s="31">
        <f>IF(P3,P225/P147,$F$226)</f>
        <v>1.1768071234021473</v>
      </c>
      <c r="Q226" s="31">
        <f>IF(Q3,Q225/Q147,$F$226)</f>
        <v>1.1768071234021473</v>
      </c>
      <c r="R226" s="31">
        <f>IF(R3,R225/R147,$F$226)</f>
        <v>1.1768071234021473</v>
      </c>
      <c r="S226" s="31">
        <f>IF(S3,S225/S147,$F$226)</f>
        <v>1.1768071234021473</v>
      </c>
      <c r="T226" s="31">
        <f>IF(T3,T225/T147,$F$226)</f>
        <v>1.1768071234021473</v>
      </c>
    </row>
    <row r="228" spans="1:20" x14ac:dyDescent="0.3">
      <c r="C228" s="25" t="s">
        <v>85</v>
      </c>
      <c r="I228" s="11">
        <f>IF(I3,I111+I117)</f>
        <v>356787538.84999955</v>
      </c>
      <c r="J228" s="11">
        <f>IF(J3,J111+J117)</f>
        <v>1614438169.9582896</v>
      </c>
      <c r="K228" s="11">
        <f>IF(K3,K111+K117)</f>
        <v>527344669.43099964</v>
      </c>
      <c r="L228" s="11">
        <f>IF(L3,L111+L117)</f>
        <v>721332675.64099979</v>
      </c>
      <c r="M228" s="11" t="b">
        <f>IF(M3,M111+M117)</f>
        <v>0</v>
      </c>
      <c r="N228" s="11" t="b">
        <f>IF(N3,N111+N117)</f>
        <v>0</v>
      </c>
      <c r="O228" s="11" t="b">
        <f>IF(O3,O111+O117)</f>
        <v>0</v>
      </c>
      <c r="P228" s="11" t="b">
        <f>IF(P3,P111+P117)</f>
        <v>0</v>
      </c>
      <c r="Q228" s="11" t="b">
        <f>IF(Q3,Q111+Q117)</f>
        <v>0</v>
      </c>
      <c r="R228" s="11" t="b">
        <f>IF(R3,R111+R117)</f>
        <v>0</v>
      </c>
      <c r="S228" s="11" t="b">
        <f>IF(S3,S111+S117)</f>
        <v>0</v>
      </c>
      <c r="T228" s="11" t="b">
        <f>IF(T3,T111+T117)</f>
        <v>0</v>
      </c>
    </row>
    <row r="229" spans="1:20" x14ac:dyDescent="0.3">
      <c r="C229" s="25" t="s">
        <v>170</v>
      </c>
      <c r="F229" s="31">
        <f>INDEX(229:229,$F$2)</f>
        <v>0.52551452247214692</v>
      </c>
      <c r="G229" s="43">
        <v>0.55000000000000004</v>
      </c>
      <c r="I229" s="32">
        <f>IF(I3,I228/I147,$F$229)</f>
        <v>0.37276151415019898</v>
      </c>
      <c r="J229" s="32">
        <f>IF(J3,J228/J147,$F$229)</f>
        <v>1.8329683767776335</v>
      </c>
      <c r="K229" s="32">
        <f>IF(K3,K228/K147,$F$229)</f>
        <v>0.33997959661948068</v>
      </c>
      <c r="L229" s="32">
        <f>IF(L3,L228/L147,$F$229)</f>
        <v>0.52551452247214692</v>
      </c>
      <c r="M229" s="32">
        <f>IF(M3,M228/M147,$F$229)</f>
        <v>0.52551452247214692</v>
      </c>
      <c r="N229" s="32">
        <f>IF(N3,N228/N147,$F$229)</f>
        <v>0.52551452247214692</v>
      </c>
      <c r="O229" s="32">
        <f>IF(O3,O228/O147,$F$229)</f>
        <v>0.52551452247214692</v>
      </c>
      <c r="P229" s="32">
        <f>IF(P3,P228/P147,$F$229)</f>
        <v>0.52551452247214692</v>
      </c>
      <c r="Q229" s="32">
        <f>IF(Q3,Q228/Q147,$F$229)</f>
        <v>0.52551452247214692</v>
      </c>
      <c r="R229" s="32">
        <f>IF(R3,R228/R147,$F$229)</f>
        <v>0.52551452247214692</v>
      </c>
      <c r="S229" s="32">
        <f>IF(S3,S228/S147,$F$229)</f>
        <v>0.52551452247214692</v>
      </c>
      <c r="T229" s="32">
        <f>IF(T3,T228/T147,$F$229)</f>
        <v>0.52551452247214692</v>
      </c>
    </row>
    <row r="230" spans="1:20" x14ac:dyDescent="0.3">
      <c r="C230" s="25"/>
      <c r="F230" s="31"/>
      <c r="G230" s="29"/>
      <c r="I230" s="32"/>
      <c r="J230" s="32"/>
      <c r="K230" s="32"/>
      <c r="L230" s="32"/>
      <c r="M230" s="32"/>
      <c r="N230" s="32"/>
      <c r="O230" s="32"/>
      <c r="P230" s="32"/>
      <c r="Q230" s="32"/>
      <c r="R230" s="32"/>
      <c r="S230" s="32"/>
      <c r="T230" s="32"/>
    </row>
    <row r="231" spans="1:20" x14ac:dyDescent="0.3">
      <c r="C231" s="25" t="s">
        <v>231</v>
      </c>
      <c r="F231" s="31"/>
      <c r="G231" s="29"/>
      <c r="I231" s="47">
        <f>IF(I3,I130)</f>
        <v>3102921634.5700002</v>
      </c>
      <c r="J231" s="47">
        <f>IF(J3,J130)</f>
        <v>3707343493.0513115</v>
      </c>
      <c r="K231" s="47">
        <f t="shared" ref="K231:T231" si="36">IF(K3,K130)</f>
        <v>3909726441.8620925</v>
      </c>
      <c r="L231" s="47">
        <f t="shared" si="36"/>
        <v>2924344613.9836721</v>
      </c>
      <c r="M231" s="47" t="b">
        <f t="shared" si="36"/>
        <v>0</v>
      </c>
      <c r="N231" s="47" t="b">
        <f t="shared" si="36"/>
        <v>0</v>
      </c>
      <c r="O231" s="47" t="b">
        <f t="shared" si="36"/>
        <v>0</v>
      </c>
      <c r="P231" s="47" t="b">
        <f t="shared" si="36"/>
        <v>0</v>
      </c>
      <c r="Q231" s="47" t="b">
        <f t="shared" si="36"/>
        <v>0</v>
      </c>
      <c r="R231" s="47" t="b">
        <f t="shared" si="36"/>
        <v>0</v>
      </c>
      <c r="S231" s="47" t="b">
        <f t="shared" si="36"/>
        <v>0</v>
      </c>
      <c r="T231" s="47" t="b">
        <f t="shared" si="36"/>
        <v>0</v>
      </c>
    </row>
    <row r="232" spans="1:20" x14ac:dyDescent="0.3">
      <c r="C232" s="25" t="s">
        <v>232</v>
      </c>
      <c r="F232" s="31"/>
      <c r="G232" s="29"/>
      <c r="I232" s="47">
        <f>IF(I3,I47)</f>
        <v>1110503328.1500311</v>
      </c>
      <c r="J232" s="47">
        <f>IF(J3,J47)</f>
        <v>693733375.81130493</v>
      </c>
      <c r="K232" s="47">
        <f t="shared" ref="K232:T232" si="37">IF(K3,K47)</f>
        <v>1304990633.5420799</v>
      </c>
      <c r="L232" s="47">
        <f t="shared" si="37"/>
        <v>760974245.65368152</v>
      </c>
      <c r="M232" s="47" t="b">
        <f t="shared" si="37"/>
        <v>0</v>
      </c>
      <c r="N232" s="47" t="b">
        <f t="shared" si="37"/>
        <v>0</v>
      </c>
      <c r="O232" s="47" t="b">
        <f t="shared" si="37"/>
        <v>0</v>
      </c>
      <c r="P232" s="47" t="b">
        <f t="shared" si="37"/>
        <v>0</v>
      </c>
      <c r="Q232" s="47" t="b">
        <f t="shared" si="37"/>
        <v>0</v>
      </c>
      <c r="R232" s="47" t="b">
        <f t="shared" si="37"/>
        <v>0</v>
      </c>
      <c r="S232" s="47" t="b">
        <f t="shared" si="37"/>
        <v>0</v>
      </c>
      <c r="T232" s="47" t="b">
        <f t="shared" si="37"/>
        <v>0</v>
      </c>
    </row>
    <row r="233" spans="1:20" x14ac:dyDescent="0.3">
      <c r="C233" s="25" t="s">
        <v>233</v>
      </c>
      <c r="F233" s="31"/>
      <c r="G233" s="29"/>
      <c r="I233" s="32"/>
      <c r="J233" s="47">
        <f>J232-(J231-I231)</f>
        <v>89311517.329993606</v>
      </c>
      <c r="K233" s="47">
        <f t="shared" ref="K233:L233" si="38">K232-(K231-J231)</f>
        <v>1102607684.7312989</v>
      </c>
      <c r="L233" s="47">
        <f t="shared" si="38"/>
        <v>1746356073.5321019</v>
      </c>
      <c r="M233" s="47">
        <f t="shared" ref="M233" si="39">M232-(M231-L231)</f>
        <v>2924344613.9836721</v>
      </c>
      <c r="N233" s="47">
        <f t="shared" ref="N233" si="40">N232-(N231-M231)</f>
        <v>0</v>
      </c>
      <c r="O233" s="47">
        <f t="shared" ref="O233" si="41">O232-(O231-N231)</f>
        <v>0</v>
      </c>
      <c r="P233" s="47">
        <f t="shared" ref="P233" si="42">P232-(P231-O231)</f>
        <v>0</v>
      </c>
      <c r="Q233" s="47">
        <f t="shared" ref="Q233" si="43">Q232-(Q231-P231)</f>
        <v>0</v>
      </c>
      <c r="R233" s="47">
        <f t="shared" ref="R233" si="44">R232-(R231-Q231)</f>
        <v>0</v>
      </c>
      <c r="S233" s="47">
        <f t="shared" ref="S233" si="45">S232-(S231-R231)</f>
        <v>0</v>
      </c>
      <c r="T233" s="47">
        <f t="shared" ref="T233" si="46">T232-(T231-S231)</f>
        <v>0</v>
      </c>
    </row>
    <row r="235" spans="1:20" x14ac:dyDescent="0.3">
      <c r="A235" s="7" t="s">
        <v>171</v>
      </c>
    </row>
    <row r="236" spans="1:20" x14ac:dyDescent="0.3">
      <c r="C236" s="6" t="s">
        <v>123</v>
      </c>
    </row>
    <row r="237" spans="1:20" x14ac:dyDescent="0.3">
      <c r="D237" s="6" t="s">
        <v>273</v>
      </c>
      <c r="E237" s="6">
        <v>1</v>
      </c>
      <c r="I237" s="30">
        <f>I141</f>
        <v>0</v>
      </c>
      <c r="J237" s="30">
        <f t="shared" ref="J237:T237" si="47">J141</f>
        <v>1.0264678830381553</v>
      </c>
      <c r="K237" s="30">
        <f t="shared" si="47"/>
        <v>1.4109684833500982</v>
      </c>
      <c r="L237" s="30">
        <f t="shared" si="47"/>
        <v>0.93067437594038993</v>
      </c>
      <c r="M237" s="30">
        <f t="shared" si="47"/>
        <v>1.1000000000000001</v>
      </c>
      <c r="N237" s="30">
        <f t="shared" si="47"/>
        <v>1.1000000000000001</v>
      </c>
      <c r="O237" s="30">
        <f t="shared" si="47"/>
        <v>1.1000000000000001</v>
      </c>
      <c r="P237" s="30">
        <f t="shared" si="47"/>
        <v>1.1000000000000001</v>
      </c>
      <c r="Q237" s="30">
        <f t="shared" si="47"/>
        <v>1.1000000000000001</v>
      </c>
      <c r="R237" s="30">
        <f t="shared" si="47"/>
        <v>1.1000000000000001</v>
      </c>
      <c r="S237" s="30">
        <f t="shared" si="47"/>
        <v>1.1000000000000001</v>
      </c>
      <c r="T237" s="30">
        <f t="shared" si="47"/>
        <v>1.1000000000000001</v>
      </c>
    </row>
    <row r="238" spans="1:20" x14ac:dyDescent="0.3">
      <c r="D238" s="6" t="s">
        <v>182</v>
      </c>
      <c r="E238" s="6">
        <f>IF(D238="",E237,E237+1)</f>
        <v>2</v>
      </c>
      <c r="I238" s="11">
        <f>IF(I3,I140,H238*I237)</f>
        <v>3784294503.7239799</v>
      </c>
      <c r="J238" s="11">
        <f>IF(J3,J140,I238*J237)</f>
        <v>3884456768.0304799</v>
      </c>
      <c r="K238" s="11">
        <f>IF(K3,K140,J238*K237)</f>
        <v>5480846074.6269903</v>
      </c>
      <c r="L238" s="11">
        <f>IF(L3,L140,K238*L237)</f>
        <v>5100883000.1288099</v>
      </c>
      <c r="M238" s="11">
        <f>IF(M3,M140,L238*M237)</f>
        <v>5610971300.1416912</v>
      </c>
      <c r="N238" s="11">
        <f>IF(N3,N140,M238*N237)</f>
        <v>6172068430.1558609</v>
      </c>
      <c r="O238" s="11">
        <f>IF(O3,O140,N238*O237)</f>
        <v>6789275273.1714478</v>
      </c>
      <c r="P238" s="11">
        <f>IF(P3,P140,O238*P237)</f>
        <v>7468202800.4885931</v>
      </c>
      <c r="Q238" s="11">
        <f>IF(Q3,Q140,P238*Q237)</f>
        <v>8215023080.5374527</v>
      </c>
      <c r="R238" s="11">
        <f>IF(R3,R140,Q238*R237)</f>
        <v>9036525388.591198</v>
      </c>
      <c r="S238" s="11">
        <f>IF(S3,S140,R238*S237)</f>
        <v>9940177927.4503193</v>
      </c>
      <c r="T238" s="11">
        <f>IF(T3,T140,S238*T237)</f>
        <v>10934195720.195353</v>
      </c>
    </row>
    <row r="239" spans="1:20" x14ac:dyDescent="0.3">
      <c r="E239" s="6">
        <f t="shared" ref="E239:E302" si="48">IF(D239="",E238,E238+1)</f>
        <v>2</v>
      </c>
    </row>
    <row r="240" spans="1:20" x14ac:dyDescent="0.3">
      <c r="C240" s="6" t="s">
        <v>129</v>
      </c>
      <c r="E240" s="6">
        <f t="shared" si="48"/>
        <v>2</v>
      </c>
    </row>
    <row r="241" spans="3:20" x14ac:dyDescent="0.3">
      <c r="D241" s="25" t="s">
        <v>274</v>
      </c>
      <c r="E241" s="6">
        <f t="shared" si="48"/>
        <v>3</v>
      </c>
      <c r="I241" s="31">
        <f>I144</f>
        <v>-5.644657684273623E-3</v>
      </c>
      <c r="J241" s="31">
        <f t="shared" ref="J241:T241" si="49">J144</f>
        <v>-1.1451346393167262E-3</v>
      </c>
      <c r="K241" s="31">
        <f t="shared" si="49"/>
        <v>-4.2040334076647365E-4</v>
      </c>
      <c r="L241" s="31">
        <f t="shared" si="49"/>
        <v>-1.6363832692867523E-4</v>
      </c>
      <c r="M241" s="31">
        <f t="shared" si="49"/>
        <v>-1.8434584978213745E-3</v>
      </c>
      <c r="N241" s="31">
        <f t="shared" si="49"/>
        <v>-1.8434584978213745E-3</v>
      </c>
      <c r="O241" s="31">
        <f t="shared" si="49"/>
        <v>-1.8434584978213745E-3</v>
      </c>
      <c r="P241" s="31">
        <f t="shared" si="49"/>
        <v>-1.8434584978213745E-3</v>
      </c>
      <c r="Q241" s="31">
        <f t="shared" si="49"/>
        <v>-1.8434584978213745E-3</v>
      </c>
      <c r="R241" s="31">
        <f t="shared" si="49"/>
        <v>-1.8434584978213745E-3</v>
      </c>
      <c r="S241" s="31">
        <f t="shared" si="49"/>
        <v>-1.8434584978213745E-3</v>
      </c>
      <c r="T241" s="31">
        <f t="shared" si="49"/>
        <v>-1.8434584978213745E-3</v>
      </c>
    </row>
    <row r="242" spans="3:20" x14ac:dyDescent="0.3">
      <c r="D242" s="25" t="s">
        <v>185</v>
      </c>
      <c r="E242" s="6">
        <f t="shared" si="48"/>
        <v>4</v>
      </c>
      <c r="I242" s="11">
        <f>I241*I238</f>
        <v>-21361047.050000001</v>
      </c>
      <c r="J242" s="11">
        <f t="shared" ref="J242:T242" si="50">J241*J238</f>
        <v>-4448226</v>
      </c>
      <c r="K242" s="11">
        <f t="shared" si="50"/>
        <v>-2304166</v>
      </c>
      <c r="L242" s="11">
        <f t="shared" si="50"/>
        <v>-834699.96</v>
      </c>
      <c r="M242" s="11">
        <f t="shared" si="50"/>
        <v>-10343592.724278046</v>
      </c>
      <c r="N242" s="11">
        <f t="shared" si="50"/>
        <v>-11377951.996705852</v>
      </c>
      <c r="O242" s="11">
        <f t="shared" si="50"/>
        <v>-12515747.196376439</v>
      </c>
      <c r="P242" s="11">
        <f t="shared" si="50"/>
        <v>-13767321.916014085</v>
      </c>
      <c r="Q242" s="11">
        <f t="shared" si="50"/>
        <v>-15144054.107615493</v>
      </c>
      <c r="R242" s="11">
        <f t="shared" si="50"/>
        <v>-16658459.518377041</v>
      </c>
      <c r="S242" s="11">
        <f t="shared" si="50"/>
        <v>-18324305.470214751</v>
      </c>
      <c r="T242" s="11">
        <f t="shared" si="50"/>
        <v>-20156736.017236225</v>
      </c>
    </row>
    <row r="243" spans="3:20" x14ac:dyDescent="0.3">
      <c r="E243" s="6">
        <f t="shared" si="48"/>
        <v>4</v>
      </c>
    </row>
    <row r="244" spans="3:20" x14ac:dyDescent="0.3">
      <c r="C244" s="6" t="s">
        <v>172</v>
      </c>
      <c r="E244" s="6">
        <f t="shared" si="48"/>
        <v>4</v>
      </c>
    </row>
    <row r="245" spans="3:20" x14ac:dyDescent="0.3">
      <c r="D245" s="6" t="s">
        <v>186</v>
      </c>
      <c r="E245" s="6">
        <f t="shared" si="48"/>
        <v>5</v>
      </c>
      <c r="I245" s="31">
        <f>I148</f>
        <v>0.2529261210902265</v>
      </c>
      <c r="J245" s="31">
        <f t="shared" ref="J245:T245" si="51">J148</f>
        <v>0.22674418194674159</v>
      </c>
      <c r="K245" s="31">
        <f t="shared" si="51"/>
        <v>0.28300499490989145</v>
      </c>
      <c r="L245" s="31">
        <f t="shared" si="51"/>
        <v>0.26909493377809252</v>
      </c>
      <c r="M245" s="31">
        <f t="shared" si="51"/>
        <v>0.26909493377809252</v>
      </c>
      <c r="N245" s="31">
        <f t="shared" si="51"/>
        <v>0.26909493377809252</v>
      </c>
      <c r="O245" s="31">
        <f t="shared" si="51"/>
        <v>0.26909493377809252</v>
      </c>
      <c r="P245" s="31">
        <f t="shared" si="51"/>
        <v>0.26909493377809252</v>
      </c>
      <c r="Q245" s="31">
        <f t="shared" si="51"/>
        <v>0.26909493377809252</v>
      </c>
      <c r="R245" s="31">
        <f t="shared" si="51"/>
        <v>0.26909493377809252</v>
      </c>
      <c r="S245" s="31">
        <f t="shared" si="51"/>
        <v>0.26909493377809252</v>
      </c>
      <c r="T245" s="31">
        <f t="shared" si="51"/>
        <v>0.26909493377809252</v>
      </c>
    </row>
    <row r="246" spans="3:20" x14ac:dyDescent="0.3">
      <c r="D246" s="6" t="s">
        <v>133</v>
      </c>
      <c r="E246" s="6">
        <f t="shared" si="48"/>
        <v>6</v>
      </c>
      <c r="I246" s="11">
        <f>I245*I238</f>
        <v>957146929.88996994</v>
      </c>
      <c r="J246" s="11">
        <f t="shared" ref="J246:T246" si="52">J245*J238</f>
        <v>880777972.17455494</v>
      </c>
      <c r="K246" s="11">
        <f t="shared" si="52"/>
        <v>1551106815.45171</v>
      </c>
      <c r="L246" s="11">
        <f t="shared" si="52"/>
        <v>1372621773.1294601</v>
      </c>
      <c r="M246" s="11">
        <f t="shared" si="52"/>
        <v>1509883950.4424062</v>
      </c>
      <c r="N246" s="11">
        <f t="shared" si="52"/>
        <v>1660872345.4866469</v>
      </c>
      <c r="O246" s="11">
        <f t="shared" si="52"/>
        <v>1826959580.0353117</v>
      </c>
      <c r="P246" s="11">
        <f t="shared" si="52"/>
        <v>2009655538.0388429</v>
      </c>
      <c r="Q246" s="11">
        <f t="shared" si="52"/>
        <v>2210621091.8427272</v>
      </c>
      <c r="R246" s="11">
        <f t="shared" si="52"/>
        <v>2431683201.027</v>
      </c>
      <c r="S246" s="11">
        <f t="shared" si="52"/>
        <v>2674851521.1297007</v>
      </c>
      <c r="T246" s="11">
        <f t="shared" si="52"/>
        <v>2942336673.242671</v>
      </c>
    </row>
    <row r="247" spans="3:20" x14ac:dyDescent="0.3">
      <c r="E247" s="6">
        <f t="shared" si="48"/>
        <v>6</v>
      </c>
    </row>
    <row r="248" spans="3:20" x14ac:dyDescent="0.3">
      <c r="D248" s="25" t="s">
        <v>187</v>
      </c>
      <c r="E248" s="6">
        <f t="shared" si="48"/>
        <v>7</v>
      </c>
      <c r="I248" s="6">
        <f>I152</f>
        <v>0</v>
      </c>
      <c r="J248" s="6">
        <f t="shared" ref="J248:T248" si="53">J152</f>
        <v>0.3775387365994658</v>
      </c>
      <c r="K248" s="6">
        <f t="shared" si="53"/>
        <v>5.5071278472516028E-2</v>
      </c>
      <c r="L248" s="6">
        <f t="shared" si="53"/>
        <v>6.1762726914900146E-3</v>
      </c>
      <c r="M248" s="6">
        <f t="shared" si="53"/>
        <v>0.1</v>
      </c>
      <c r="N248" s="6">
        <f t="shared" si="53"/>
        <v>0.1</v>
      </c>
      <c r="O248" s="6">
        <f t="shared" si="53"/>
        <v>0.1</v>
      </c>
      <c r="P248" s="6">
        <f t="shared" si="53"/>
        <v>0.1</v>
      </c>
      <c r="Q248" s="6">
        <f t="shared" si="53"/>
        <v>0.1</v>
      </c>
      <c r="R248" s="6">
        <f t="shared" si="53"/>
        <v>0.1</v>
      </c>
      <c r="S248" s="6">
        <f t="shared" si="53"/>
        <v>0.1</v>
      </c>
      <c r="T248" s="6">
        <f t="shared" si="53"/>
        <v>0.1</v>
      </c>
    </row>
    <row r="249" spans="3:20" x14ac:dyDescent="0.3">
      <c r="D249" s="25" t="s">
        <v>188</v>
      </c>
      <c r="E249" s="6">
        <f t="shared" si="48"/>
        <v>8</v>
      </c>
      <c r="I249" s="11">
        <f>IF(I3,I151,H249*(1+I248))</f>
        <v>862981910.15999997</v>
      </c>
      <c r="J249" s="11">
        <f>IF(J3,J151,I249*(1+J248))</f>
        <v>1188791010.23</v>
      </c>
      <c r="K249" s="11">
        <f>IF(K3,K151,J249*(1+K248))</f>
        <v>1254259251</v>
      </c>
      <c r="L249" s="11">
        <f>IF(L3,L151,K249*(1+L248))</f>
        <v>1262005898.1600001</v>
      </c>
      <c r="M249" s="11">
        <f>IF(M3,M151,L249*(1+M248))</f>
        <v>1388206487.9760003</v>
      </c>
      <c r="N249" s="11">
        <f>IF(N3,N151,M249*(1+N248))</f>
        <v>1527027136.7736006</v>
      </c>
      <c r="O249" s="11">
        <f>IF(O3,O151,N249*(1+O248))</f>
        <v>1679729850.4509609</v>
      </c>
      <c r="P249" s="11">
        <f>IF(P3,P151,O249*(1+P248))</f>
        <v>1847702835.496057</v>
      </c>
      <c r="Q249" s="11">
        <f>IF(Q3,Q151,P249*(1+Q248))</f>
        <v>2032473119.0456629</v>
      </c>
      <c r="R249" s="11">
        <f>IF(R3,R151,Q249*(1+R248))</f>
        <v>2235720430.9502292</v>
      </c>
      <c r="S249" s="11">
        <f>IF(S3,S151,R249*(1+S248))</f>
        <v>2459292474.0452523</v>
      </c>
      <c r="T249" s="11">
        <f>IF(T3,T151,S249*(1+T248))</f>
        <v>2705221721.4497776</v>
      </c>
    </row>
    <row r="250" spans="3:20" x14ac:dyDescent="0.3">
      <c r="E250" s="6">
        <f t="shared" si="48"/>
        <v>8</v>
      </c>
    </row>
    <row r="251" spans="3:20" x14ac:dyDescent="0.3">
      <c r="D251" s="6" t="s">
        <v>189</v>
      </c>
      <c r="E251" s="6">
        <f t="shared" si="48"/>
        <v>9</v>
      </c>
      <c r="I251" s="31">
        <f>I156</f>
        <v>8.3517057138123879E-2</v>
      </c>
      <c r="J251" s="31">
        <f t="shared" ref="J251:T251" si="54">J156</f>
        <v>9.3138366766903943E-2</v>
      </c>
      <c r="K251" s="31">
        <f t="shared" si="54"/>
        <v>0.12196438496908482</v>
      </c>
      <c r="L251" s="31">
        <f t="shared" si="54"/>
        <v>0.12244102296612992</v>
      </c>
      <c r="M251" s="31">
        <f t="shared" si="54"/>
        <v>0.10526520796006064</v>
      </c>
      <c r="N251" s="31">
        <f t="shared" si="54"/>
        <v>0.10526520796006064</v>
      </c>
      <c r="O251" s="31">
        <f t="shared" si="54"/>
        <v>0.10526520796006064</v>
      </c>
      <c r="P251" s="31">
        <f t="shared" si="54"/>
        <v>0.10526520796006064</v>
      </c>
      <c r="Q251" s="31">
        <f t="shared" si="54"/>
        <v>0.10526520796006064</v>
      </c>
      <c r="R251" s="31">
        <f t="shared" si="54"/>
        <v>0.10526520796006064</v>
      </c>
      <c r="S251" s="31">
        <f t="shared" si="54"/>
        <v>0.10526520796006064</v>
      </c>
      <c r="T251" s="31">
        <f t="shared" si="54"/>
        <v>0.10526520796006064</v>
      </c>
    </row>
    <row r="252" spans="3:20" x14ac:dyDescent="0.3">
      <c r="D252" s="6" t="s">
        <v>190</v>
      </c>
      <c r="E252" s="6">
        <f t="shared" si="48"/>
        <v>10</v>
      </c>
      <c r="I252" s="11">
        <f>I251*I249</f>
        <v>72073709.5</v>
      </c>
      <c r="J252" s="11">
        <f t="shared" ref="J252:T252" si="55">J251*J249</f>
        <v>110722053.12</v>
      </c>
      <c r="K252" s="11">
        <f t="shared" si="55"/>
        <v>152974958.13999999</v>
      </c>
      <c r="L252" s="11">
        <f t="shared" si="55"/>
        <v>154521293.16</v>
      </c>
      <c r="M252" s="11">
        <f t="shared" si="55"/>
        <v>146129844.6482991</v>
      </c>
      <c r="N252" s="11">
        <f t="shared" si="55"/>
        <v>160742829.11312902</v>
      </c>
      <c r="O252" s="11">
        <f t="shared" si="55"/>
        <v>176817112.02444196</v>
      </c>
      <c r="P252" s="11">
        <f t="shared" si="55"/>
        <v>194498823.22688615</v>
      </c>
      <c r="Q252" s="11">
        <f t="shared" si="55"/>
        <v>213948705.54957479</v>
      </c>
      <c r="R252" s="11">
        <f t="shared" si="55"/>
        <v>235343576.10453227</v>
      </c>
      <c r="S252" s="11">
        <f t="shared" si="55"/>
        <v>258877933.71498552</v>
      </c>
      <c r="T252" s="11">
        <f t="shared" si="55"/>
        <v>284765727.08648407</v>
      </c>
    </row>
    <row r="253" spans="3:20" x14ac:dyDescent="0.3">
      <c r="E253" s="6">
        <f t="shared" si="48"/>
        <v>10</v>
      </c>
    </row>
    <row r="254" spans="3:20" x14ac:dyDescent="0.3">
      <c r="D254" s="6" t="s">
        <v>191</v>
      </c>
      <c r="E254" s="6">
        <f t="shared" si="48"/>
        <v>11</v>
      </c>
      <c r="I254" s="31">
        <f>I160</f>
        <v>6.7171690267931933E-2</v>
      </c>
      <c r="J254" s="31">
        <f t="shared" ref="J254:T254" si="56">J160</f>
        <v>6.2093593567199283E-2</v>
      </c>
      <c r="K254" s="31">
        <f t="shared" si="56"/>
        <v>6.9031922821020705E-2</v>
      </c>
      <c r="L254" s="31">
        <f t="shared" si="56"/>
        <v>5.4808934734291409E-2</v>
      </c>
      <c r="M254" s="31">
        <f t="shared" si="56"/>
        <v>6.3276535347610824E-2</v>
      </c>
      <c r="N254" s="31">
        <f t="shared" si="56"/>
        <v>6.3276535347610824E-2</v>
      </c>
      <c r="O254" s="31">
        <f t="shared" si="56"/>
        <v>6.3276535347610824E-2</v>
      </c>
      <c r="P254" s="31">
        <f t="shared" si="56"/>
        <v>6.3276535347610824E-2</v>
      </c>
      <c r="Q254" s="31">
        <f t="shared" si="56"/>
        <v>6.3276535347610824E-2</v>
      </c>
      <c r="R254" s="31">
        <f t="shared" si="56"/>
        <v>6.3276535347610824E-2</v>
      </c>
      <c r="S254" s="31">
        <f t="shared" si="56"/>
        <v>6.3276535347610824E-2</v>
      </c>
      <c r="T254" s="31">
        <f t="shared" si="56"/>
        <v>6.3276535347610824E-2</v>
      </c>
    </row>
    <row r="255" spans="3:20" x14ac:dyDescent="0.3">
      <c r="D255" s="25" t="s">
        <v>192</v>
      </c>
      <c r="E255" s="6">
        <f t="shared" si="48"/>
        <v>12</v>
      </c>
      <c r="I255" s="11">
        <f>IF(I3,I159,I254*I313)</f>
        <v>56614895.447899997</v>
      </c>
      <c r="J255" s="11">
        <f>IF(J3,J159,J254*J313)</f>
        <v>64368583.720739998</v>
      </c>
      <c r="K255" s="11">
        <f t="shared" ref="K255:T255" si="57">IF(K3,K159,K254*K313)</f>
        <v>71339300.051720902</v>
      </c>
      <c r="L255" s="11">
        <f t="shared" si="57"/>
        <v>58775938.748011701</v>
      </c>
      <c r="M255" s="11">
        <f t="shared" si="57"/>
        <v>71077770.987223819</v>
      </c>
      <c r="N255" s="11">
        <f t="shared" si="57"/>
        <v>75067420.874238938</v>
      </c>
      <c r="O255" s="11">
        <f t="shared" si="57"/>
        <v>79846345.479349837</v>
      </c>
      <c r="P255" s="11">
        <f t="shared" si="57"/>
        <v>85444615.484852225</v>
      </c>
      <c r="Q255" s="11">
        <f t="shared" si="57"/>
        <v>91901424.261000633</v>
      </c>
      <c r="R255" s="11">
        <f t="shared" si="57"/>
        <v>99265234.61572203</v>
      </c>
      <c r="S255" s="11">
        <f t="shared" si="57"/>
        <v>107594036.04269898</v>
      </c>
      <c r="T255" s="11">
        <f t="shared" si="57"/>
        <v>116955711.52302255</v>
      </c>
    </row>
    <row r="256" spans="3:20" x14ac:dyDescent="0.3">
      <c r="E256" s="6">
        <f t="shared" si="48"/>
        <v>12</v>
      </c>
    </row>
    <row r="257" spans="4:20" x14ac:dyDescent="0.3">
      <c r="D257" s="25" t="s">
        <v>193</v>
      </c>
      <c r="E257" s="6">
        <f t="shared" si="48"/>
        <v>13</v>
      </c>
      <c r="I257" s="31">
        <f>I164</f>
        <v>1.9195674247476164E-2</v>
      </c>
      <c r="J257" s="31">
        <f t="shared" ref="J257:T257" si="58">J164</f>
        <v>2.0423197800248372E-2</v>
      </c>
      <c r="K257" s="31">
        <f t="shared" si="58"/>
        <v>2.0435929629281334E-2</v>
      </c>
      <c r="L257" s="31">
        <f t="shared" si="58"/>
        <v>2.5422372245496584E-2</v>
      </c>
      <c r="M257" s="31">
        <f t="shared" si="58"/>
        <v>2.5422372245496584E-2</v>
      </c>
      <c r="N257" s="31">
        <f t="shared" si="58"/>
        <v>2.5422372245496584E-2</v>
      </c>
      <c r="O257" s="31">
        <f t="shared" si="58"/>
        <v>2.5422372245496584E-2</v>
      </c>
      <c r="P257" s="31">
        <f t="shared" si="58"/>
        <v>2.5422372245496584E-2</v>
      </c>
      <c r="Q257" s="31">
        <f t="shared" si="58"/>
        <v>2.5422372245496584E-2</v>
      </c>
      <c r="R257" s="31">
        <f t="shared" si="58"/>
        <v>2.5422372245496584E-2</v>
      </c>
      <c r="S257" s="31">
        <f t="shared" si="58"/>
        <v>2.5422372245496584E-2</v>
      </c>
      <c r="T257" s="31">
        <f t="shared" si="58"/>
        <v>2.5422372245496584E-2</v>
      </c>
    </row>
    <row r="258" spans="4:20" x14ac:dyDescent="0.3">
      <c r="D258" s="25" t="s">
        <v>194</v>
      </c>
      <c r="E258" s="6">
        <f t="shared" si="48"/>
        <v>14</v>
      </c>
      <c r="I258" s="11">
        <f>I257*I238</f>
        <v>72642084.549999997</v>
      </c>
      <c r="J258" s="11">
        <f t="shared" ref="J258:T258" si="59">J257*J238</f>
        <v>79333028.920000002</v>
      </c>
      <c r="K258" s="11">
        <f t="shared" si="59"/>
        <v>112006184.69</v>
      </c>
      <c r="L258" s="11">
        <f t="shared" si="59"/>
        <v>129676546.41</v>
      </c>
      <c r="M258" s="11">
        <f t="shared" si="59"/>
        <v>142644201.051</v>
      </c>
      <c r="N258" s="11">
        <f t="shared" si="59"/>
        <v>156908621.15610003</v>
      </c>
      <c r="O258" s="11">
        <f t="shared" si="59"/>
        <v>172599483.27171004</v>
      </c>
      <c r="P258" s="11">
        <f t="shared" si="59"/>
        <v>189859431.59888107</v>
      </c>
      <c r="Q258" s="11">
        <f t="shared" si="59"/>
        <v>208845374.75876918</v>
      </c>
      <c r="R258" s="11">
        <f t="shared" si="59"/>
        <v>229729912.23464611</v>
      </c>
      <c r="S258" s="11">
        <f t="shared" si="59"/>
        <v>252702903.45811075</v>
      </c>
      <c r="T258" s="11">
        <f t="shared" si="59"/>
        <v>277973193.80392188</v>
      </c>
    </row>
    <row r="259" spans="4:20" x14ac:dyDescent="0.3">
      <c r="E259" s="6">
        <f t="shared" si="48"/>
        <v>14</v>
      </c>
    </row>
    <row r="260" spans="4:20" x14ac:dyDescent="0.3">
      <c r="D260" s="25" t="s">
        <v>195</v>
      </c>
      <c r="E260" s="6">
        <f t="shared" si="48"/>
        <v>15</v>
      </c>
      <c r="I260" s="31">
        <f>I168</f>
        <v>3.3633089707081704E-2</v>
      </c>
      <c r="J260" s="31">
        <f t="shared" ref="J260:T260" si="60">J168</f>
        <v>1.3038114897084587E-2</v>
      </c>
      <c r="K260" s="31">
        <f t="shared" si="60"/>
        <v>2.5952348052484087E-2</v>
      </c>
      <c r="L260" s="31">
        <f t="shared" si="60"/>
        <v>1.7234431773822414E-2</v>
      </c>
      <c r="M260" s="31">
        <f t="shared" si="60"/>
        <v>1.7234431773822414E-2</v>
      </c>
      <c r="N260" s="31">
        <f t="shared" si="60"/>
        <v>1.7234431773822414E-2</v>
      </c>
      <c r="O260" s="31">
        <f t="shared" si="60"/>
        <v>1.7234431773822414E-2</v>
      </c>
      <c r="P260" s="31">
        <f t="shared" si="60"/>
        <v>1.7234431773822414E-2</v>
      </c>
      <c r="Q260" s="31">
        <f t="shared" si="60"/>
        <v>1.7234431773822414E-2</v>
      </c>
      <c r="R260" s="31">
        <f t="shared" si="60"/>
        <v>1.7234431773822414E-2</v>
      </c>
      <c r="S260" s="31">
        <f t="shared" si="60"/>
        <v>1.7234431773822414E-2</v>
      </c>
      <c r="T260" s="31">
        <f t="shared" si="60"/>
        <v>1.7234431773822414E-2</v>
      </c>
    </row>
    <row r="261" spans="4:20" x14ac:dyDescent="0.3">
      <c r="D261" s="25" t="s">
        <v>141</v>
      </c>
      <c r="E261" s="6">
        <f t="shared" si="48"/>
        <v>16</v>
      </c>
      <c r="I261" s="11">
        <f>I260*I249</f>
        <v>29024748.000000004</v>
      </c>
      <c r="J261" s="11">
        <f t="shared" ref="J261:T261" si="61">J260*J249</f>
        <v>15499593.779999999</v>
      </c>
      <c r="K261" s="11">
        <f t="shared" si="61"/>
        <v>32550972.629999999</v>
      </c>
      <c r="L261" s="11">
        <f t="shared" si="61"/>
        <v>21749954.549999997</v>
      </c>
      <c r="M261" s="11">
        <f t="shared" si="61"/>
        <v>23924950.005000003</v>
      </c>
      <c r="N261" s="11">
        <f t="shared" si="61"/>
        <v>26317445.005500007</v>
      </c>
      <c r="O261" s="11">
        <f t="shared" si="61"/>
        <v>28949189.506050013</v>
      </c>
      <c r="P261" s="11">
        <f t="shared" si="61"/>
        <v>31844108.456655014</v>
      </c>
      <c r="Q261" s="11">
        <f t="shared" si="61"/>
        <v>35028519.302320518</v>
      </c>
      <c r="R261" s="11">
        <f t="shared" si="61"/>
        <v>38531371.232552573</v>
      </c>
      <c r="S261" s="11">
        <f t="shared" si="61"/>
        <v>42384508.355807833</v>
      </c>
      <c r="T261" s="11">
        <f t="shared" si="61"/>
        <v>46622959.191388614</v>
      </c>
    </row>
    <row r="262" spans="4:20" x14ac:dyDescent="0.3">
      <c r="E262" s="6">
        <f t="shared" si="48"/>
        <v>16</v>
      </c>
    </row>
    <row r="263" spans="4:20" x14ac:dyDescent="0.3">
      <c r="D263" s="25" t="s">
        <v>196</v>
      </c>
      <c r="E263" s="6">
        <f t="shared" si="48"/>
        <v>17</v>
      </c>
      <c r="I263" s="6">
        <f>I172</f>
        <v>0</v>
      </c>
      <c r="J263" s="6">
        <f t="shared" ref="J263:T263" si="62">J172</f>
        <v>6.1407769635746234E-2</v>
      </c>
      <c r="K263" s="6">
        <f t="shared" si="62"/>
        <v>5.8644012921649891E-2</v>
      </c>
      <c r="L263" s="6">
        <f t="shared" si="62"/>
        <v>1.4839855031201648</v>
      </c>
      <c r="M263" s="6">
        <f t="shared" si="62"/>
        <v>0.1</v>
      </c>
      <c r="N263" s="6">
        <f t="shared" si="62"/>
        <v>0.1</v>
      </c>
      <c r="O263" s="6">
        <f t="shared" si="62"/>
        <v>0.1</v>
      </c>
      <c r="P263" s="6">
        <f t="shared" si="62"/>
        <v>0.1</v>
      </c>
      <c r="Q263" s="6">
        <f t="shared" si="62"/>
        <v>0.1</v>
      </c>
      <c r="R263" s="6">
        <f t="shared" si="62"/>
        <v>0.1</v>
      </c>
      <c r="S263" s="6">
        <f t="shared" si="62"/>
        <v>0.1</v>
      </c>
      <c r="T263" s="6">
        <f t="shared" si="62"/>
        <v>0.1</v>
      </c>
    </row>
    <row r="264" spans="4:20" x14ac:dyDescent="0.3">
      <c r="D264" s="25" t="s">
        <v>197</v>
      </c>
      <c r="E264" s="6">
        <f t="shared" si="48"/>
        <v>18</v>
      </c>
      <c r="I264" s="11">
        <f>IF(I3,I171,H264*(1+I263))</f>
        <v>191626512.56999999</v>
      </c>
      <c r="J264" s="11">
        <f t="shared" ref="J264:T264" si="63">IF(J3,J171,I264*(1+J263))</f>
        <v>203393869.31</v>
      </c>
      <c r="K264" s="11">
        <f t="shared" si="63"/>
        <v>215321702.00999999</v>
      </c>
      <c r="L264" s="11">
        <f t="shared" si="63"/>
        <v>534855986.30000001</v>
      </c>
      <c r="M264" s="11">
        <f t="shared" si="63"/>
        <v>588341584.93000007</v>
      </c>
      <c r="N264" s="11">
        <f t="shared" si="63"/>
        <v>647175743.4230001</v>
      </c>
      <c r="O264" s="11">
        <f t="shared" si="63"/>
        <v>711893317.76530015</v>
      </c>
      <c r="P264" s="11">
        <f t="shared" si="63"/>
        <v>783082649.54183018</v>
      </c>
      <c r="Q264" s="11">
        <f t="shared" si="63"/>
        <v>861390914.49601328</v>
      </c>
      <c r="R264" s="11">
        <f t="shared" si="63"/>
        <v>947530005.9456147</v>
      </c>
      <c r="S264" s="11">
        <f t="shared" si="63"/>
        <v>1042283006.5401763</v>
      </c>
      <c r="T264" s="11">
        <f t="shared" si="63"/>
        <v>1146511307.1941941</v>
      </c>
    </row>
    <row r="265" spans="4:20" x14ac:dyDescent="0.3">
      <c r="E265" s="6">
        <f t="shared" si="48"/>
        <v>18</v>
      </c>
    </row>
    <row r="266" spans="4:20" x14ac:dyDescent="0.3">
      <c r="D266" s="25" t="s">
        <v>198</v>
      </c>
      <c r="E266" s="6">
        <f t="shared" si="48"/>
        <v>19</v>
      </c>
      <c r="I266" s="31">
        <f>I176</f>
        <v>7.0404412483704793E-3</v>
      </c>
      <c r="J266" s="31">
        <f t="shared" ref="J266:T266" si="64">J176</f>
        <v>2.8981980421700147E-3</v>
      </c>
      <c r="K266" s="31">
        <f t="shared" si="64"/>
        <v>2.031765688796117E-3</v>
      </c>
      <c r="L266" s="31">
        <f t="shared" si="64"/>
        <v>1.8332564283015038E-3</v>
      </c>
      <c r="M266" s="31">
        <f t="shared" si="64"/>
        <v>1.8332564283015038E-3</v>
      </c>
      <c r="N266" s="31">
        <f t="shared" si="64"/>
        <v>1.8332564283015038E-3</v>
      </c>
      <c r="O266" s="31">
        <f t="shared" si="64"/>
        <v>1.8332564283015038E-3</v>
      </c>
      <c r="P266" s="31">
        <f t="shared" si="64"/>
        <v>1.8332564283015038E-3</v>
      </c>
      <c r="Q266" s="31">
        <f t="shared" si="64"/>
        <v>1.8332564283015038E-3</v>
      </c>
      <c r="R266" s="31">
        <f t="shared" si="64"/>
        <v>1.8332564283015038E-3</v>
      </c>
      <c r="S266" s="31">
        <f t="shared" si="64"/>
        <v>1.8332564283015038E-3</v>
      </c>
      <c r="T266" s="31">
        <f t="shared" si="64"/>
        <v>1.8332564283015038E-3</v>
      </c>
    </row>
    <row r="267" spans="4:20" x14ac:dyDescent="0.3">
      <c r="D267" s="25" t="s">
        <v>144</v>
      </c>
      <c r="E267" s="6">
        <f t="shared" si="48"/>
        <v>20</v>
      </c>
      <c r="I267" s="11">
        <f>I266*I238</f>
        <v>26643103.120000001</v>
      </c>
      <c r="J267" s="11">
        <f>J266*J238</f>
        <v>11257925</v>
      </c>
      <c r="K267" s="11">
        <f>K266*K238</f>
        <v>11135795.000000002</v>
      </c>
      <c r="L267" s="11">
        <f>L266*L238</f>
        <v>9351226.5500000007</v>
      </c>
      <c r="M267" s="11">
        <f>M266*M238</f>
        <v>10286349.205000002</v>
      </c>
      <c r="N267" s="11">
        <f>N266*N238</f>
        <v>11314984.125500003</v>
      </c>
      <c r="O267" s="11">
        <f>O266*O238</f>
        <v>12446482.538050005</v>
      </c>
      <c r="P267" s="11">
        <f>P266*P238</f>
        <v>13691130.791855006</v>
      </c>
      <c r="Q267" s="11">
        <f>Q266*Q238</f>
        <v>15060243.871040506</v>
      </c>
      <c r="R267" s="11">
        <f>R266*R238</f>
        <v>16566268.258144557</v>
      </c>
      <c r="S267" s="11">
        <f>S266*S238</f>
        <v>18222895.083959017</v>
      </c>
      <c r="T267" s="11">
        <f>T266*T238</f>
        <v>20045184.59235492</v>
      </c>
    </row>
    <row r="268" spans="4:20" x14ac:dyDescent="0.3">
      <c r="E268" s="6">
        <f t="shared" si="48"/>
        <v>20</v>
      </c>
    </row>
    <row r="269" spans="4:20" x14ac:dyDescent="0.3">
      <c r="D269" s="25" t="s">
        <v>200</v>
      </c>
      <c r="E269" s="6">
        <f t="shared" si="48"/>
        <v>21</v>
      </c>
      <c r="I269" s="29">
        <f>I180</f>
        <v>0</v>
      </c>
      <c r="J269" s="29">
        <f t="shared" ref="J269:T269" si="65">J180</f>
        <v>-0.7</v>
      </c>
      <c r="K269" s="29">
        <f t="shared" si="65"/>
        <v>113</v>
      </c>
      <c r="L269" s="29">
        <f t="shared" si="65"/>
        <v>-0.90923087719298246</v>
      </c>
      <c r="M269" s="29">
        <f t="shared" si="65"/>
        <v>0.1</v>
      </c>
      <c r="N269" s="29">
        <f t="shared" si="65"/>
        <v>0.1</v>
      </c>
      <c r="O269" s="29">
        <f t="shared" si="65"/>
        <v>0.1</v>
      </c>
      <c r="P269" s="29">
        <f t="shared" si="65"/>
        <v>0.1</v>
      </c>
      <c r="Q269" s="29">
        <f t="shared" si="65"/>
        <v>0.1</v>
      </c>
      <c r="R269" s="29">
        <f t="shared" si="65"/>
        <v>0.1</v>
      </c>
      <c r="S269" s="29">
        <f t="shared" si="65"/>
        <v>0.1</v>
      </c>
      <c r="T269" s="29">
        <f t="shared" si="65"/>
        <v>0.1</v>
      </c>
    </row>
    <row r="270" spans="4:20" x14ac:dyDescent="0.3">
      <c r="D270" s="25" t="s">
        <v>201</v>
      </c>
      <c r="E270" s="6">
        <f t="shared" si="48"/>
        <v>22</v>
      </c>
      <c r="I270" s="11">
        <f>IF(I3,I179,H270*(1+I269))</f>
        <v>500000</v>
      </c>
      <c r="J270" s="11">
        <f>IF(J3,J179,I270*(1+J269))</f>
        <v>150000</v>
      </c>
      <c r="K270" s="11">
        <f>IF(K3,K179,J270*(1+K269))</f>
        <v>17100000</v>
      </c>
      <c r="L270" s="11">
        <f>IF(L3,L179,K270*(1+L269))</f>
        <v>1552152</v>
      </c>
      <c r="M270" s="11">
        <f>IF(M3,M179,L270*(1+M269))</f>
        <v>1707367.2000000002</v>
      </c>
      <c r="N270" s="11">
        <f>IF(N3,N179,M270*(1+N269))</f>
        <v>1878103.9200000004</v>
      </c>
      <c r="O270" s="11">
        <f>IF(O3,O179,N270*(1+O269))</f>
        <v>2065914.3120000006</v>
      </c>
      <c r="P270" s="11">
        <f>IF(P3,P179,O270*(1+P269))</f>
        <v>2272505.7432000008</v>
      </c>
      <c r="Q270" s="11">
        <f>IF(Q3,Q179,P270*(1+Q269))</f>
        <v>2499756.317520001</v>
      </c>
      <c r="R270" s="11">
        <f>IF(R3,R179,Q270*(1+R269))</f>
        <v>2749731.9492720012</v>
      </c>
      <c r="S270" s="11">
        <f>IF(S3,S179,R270*(1+S269))</f>
        <v>3024705.1441992014</v>
      </c>
      <c r="T270" s="11">
        <f>IF(T3,T179,S270*(1+T269))</f>
        <v>3327175.6586191216</v>
      </c>
    </row>
    <row r="271" spans="4:20" x14ac:dyDescent="0.3">
      <c r="E271" s="6">
        <f t="shared" si="48"/>
        <v>22</v>
      </c>
    </row>
    <row r="272" spans="4:20" x14ac:dyDescent="0.3">
      <c r="D272" s="25" t="s">
        <v>202</v>
      </c>
      <c r="E272" s="6">
        <f t="shared" si="48"/>
        <v>23</v>
      </c>
      <c r="I272" s="31">
        <f>I184</f>
        <v>7.0242421127218995E-3</v>
      </c>
      <c r="J272" s="31">
        <f t="shared" ref="J272:T272" si="66">J184</f>
        <v>9.3899454765958654E-3</v>
      </c>
      <c r="K272" s="31">
        <f t="shared" si="66"/>
        <v>5.2730326990558466E-3</v>
      </c>
      <c r="L272" s="31">
        <f t="shared" si="66"/>
        <v>8.2102994146194749E-3</v>
      </c>
      <c r="M272" s="31">
        <f t="shared" si="66"/>
        <v>7.4743799257482712E-3</v>
      </c>
      <c r="N272" s="31">
        <f t="shared" si="66"/>
        <v>7.4743799257482712E-3</v>
      </c>
      <c r="O272" s="31">
        <f t="shared" si="66"/>
        <v>7.4743799257482712E-3</v>
      </c>
      <c r="P272" s="31">
        <f t="shared" si="66"/>
        <v>7.4743799257482712E-3</v>
      </c>
      <c r="Q272" s="31">
        <f t="shared" si="66"/>
        <v>7.4743799257482712E-3</v>
      </c>
      <c r="R272" s="31">
        <f t="shared" si="66"/>
        <v>7.4743799257482712E-3</v>
      </c>
      <c r="S272" s="31">
        <f t="shared" si="66"/>
        <v>7.4743799257482712E-3</v>
      </c>
      <c r="T272" s="31">
        <f t="shared" si="66"/>
        <v>7.4743799257482712E-3</v>
      </c>
    </row>
    <row r="273" spans="4:20" x14ac:dyDescent="0.3">
      <c r="D273" s="25" t="s">
        <v>150</v>
      </c>
      <c r="E273" s="6">
        <f t="shared" si="48"/>
        <v>24</v>
      </c>
      <c r="I273" s="11">
        <f>I272*I238</f>
        <v>26581800.82</v>
      </c>
      <c r="J273" s="11">
        <f>J272*J238</f>
        <v>36474837.258000001</v>
      </c>
      <c r="K273" s="11">
        <f>K272*K238</f>
        <v>28900680.57</v>
      </c>
      <c r="L273" s="11">
        <f>L272*L238</f>
        <v>41879776.710000001</v>
      </c>
      <c r="M273" s="11">
        <f>M272*M238</f>
        <v>41938531.249728732</v>
      </c>
      <c r="N273" s="11">
        <f>N272*N238</f>
        <v>46132384.374701612</v>
      </c>
      <c r="O273" s="11">
        <f>O272*O238</f>
        <v>50745622.81217178</v>
      </c>
      <c r="P273" s="11">
        <f>P272*P238</f>
        <v>55820185.09338896</v>
      </c>
      <c r="Q273" s="11">
        <f>Q272*Q238</f>
        <v>61402203.60272786</v>
      </c>
      <c r="R273" s="11">
        <f>R272*R238</f>
        <v>67542423.96300064</v>
      </c>
      <c r="S273" s="11">
        <f>S272*S238</f>
        <v>74296666.359300718</v>
      </c>
      <c r="T273" s="11">
        <f>T272*T238</f>
        <v>81726332.995230809</v>
      </c>
    </row>
    <row r="274" spans="4:20" x14ac:dyDescent="0.3">
      <c r="E274" s="6">
        <f t="shared" si="48"/>
        <v>24</v>
      </c>
    </row>
    <row r="275" spans="4:20" x14ac:dyDescent="0.3">
      <c r="D275" s="25" t="s">
        <v>203</v>
      </c>
      <c r="E275" s="6">
        <f t="shared" si="48"/>
        <v>25</v>
      </c>
      <c r="I275" s="31">
        <f>I188</f>
        <v>1.2634906450601786E-2</v>
      </c>
      <c r="J275" s="31">
        <f t="shared" ref="J275:T275" si="67">J188</f>
        <v>1.3211481123498327E-2</v>
      </c>
      <c r="K275" s="31">
        <f t="shared" si="67"/>
        <v>1.1342737313729333E-2</v>
      </c>
      <c r="L275" s="31">
        <f t="shared" si="67"/>
        <v>1.2955457534702758E-2</v>
      </c>
      <c r="M275" s="31">
        <f t="shared" si="67"/>
        <v>1.2955457534702758E-2</v>
      </c>
      <c r="N275" s="31">
        <f t="shared" si="67"/>
        <v>1.2955457534702758E-2</v>
      </c>
      <c r="O275" s="31">
        <f t="shared" si="67"/>
        <v>1.2955457534702758E-2</v>
      </c>
      <c r="P275" s="31">
        <f t="shared" si="67"/>
        <v>1.2955457534702758E-2</v>
      </c>
      <c r="Q275" s="31">
        <f t="shared" si="67"/>
        <v>1.2955457534702758E-2</v>
      </c>
      <c r="R275" s="31">
        <f t="shared" si="67"/>
        <v>1.2955457534702758E-2</v>
      </c>
      <c r="S275" s="31">
        <f t="shared" si="67"/>
        <v>1.2955457534702758E-2</v>
      </c>
      <c r="T275" s="31">
        <f t="shared" si="67"/>
        <v>1.2955457534702758E-2</v>
      </c>
    </row>
    <row r="276" spans="4:20" x14ac:dyDescent="0.3">
      <c r="D276" s="25" t="s">
        <v>204</v>
      </c>
      <c r="E276" s="6">
        <f t="shared" si="48"/>
        <v>26</v>
      </c>
      <c r="I276" s="11">
        <f>I275*I238</f>
        <v>47814207.036078997</v>
      </c>
      <c r="J276" s="11">
        <f>J275*J238</f>
        <v>51319427.265880004</v>
      </c>
      <c r="K276" s="11">
        <f>K275*K238</f>
        <v>62167797.281478509</v>
      </c>
      <c r="L276" s="11">
        <f>L275*L238</f>
        <v>66084273.097655997</v>
      </c>
      <c r="M276" s="11">
        <f>M275*M238</f>
        <v>72692700.407421604</v>
      </c>
      <c r="N276" s="11">
        <f>N275*N238</f>
        <v>79961970.448163778</v>
      </c>
      <c r="O276" s="11">
        <f>O275*O238</f>
        <v>87958167.492980152</v>
      </c>
      <c r="P276" s="11">
        <f>P275*P238</f>
        <v>96753984.242278174</v>
      </c>
      <c r="Q276" s="11">
        <f>Q275*Q238</f>
        <v>106429382.66650601</v>
      </c>
      <c r="R276" s="11">
        <f>R275*R238</f>
        <v>117072320.93315661</v>
      </c>
      <c r="S276" s="11">
        <f>S275*S238</f>
        <v>128779553.02647229</v>
      </c>
      <c r="T276" s="11">
        <f>T275*T238</f>
        <v>141657508.32911953</v>
      </c>
    </row>
    <row r="277" spans="4:20" x14ac:dyDescent="0.3">
      <c r="E277" s="6">
        <f t="shared" si="48"/>
        <v>26</v>
      </c>
    </row>
    <row r="278" spans="4:20" x14ac:dyDescent="0.3">
      <c r="D278" s="25" t="s">
        <v>205</v>
      </c>
      <c r="E278" s="6">
        <f t="shared" si="48"/>
        <v>27</v>
      </c>
      <c r="I278" s="31">
        <f>I192</f>
        <v>4.3591908229592739E-2</v>
      </c>
      <c r="J278" s="31">
        <f t="shared" ref="J278:T278" si="68">J192</f>
        <v>6.4895743633189007E-2</v>
      </c>
      <c r="K278" s="31">
        <f t="shared" si="68"/>
        <v>3.1229767194268371E-2</v>
      </c>
      <c r="L278" s="31">
        <f t="shared" si="68"/>
        <v>3.4248598827643813E-2</v>
      </c>
      <c r="M278" s="31">
        <f t="shared" si="68"/>
        <v>4.3491504471173482E-2</v>
      </c>
      <c r="N278" s="31">
        <f t="shared" si="68"/>
        <v>4.3491504471173482E-2</v>
      </c>
      <c r="O278" s="31">
        <f t="shared" si="68"/>
        <v>4.3491504471173482E-2</v>
      </c>
      <c r="P278" s="31">
        <f t="shared" si="68"/>
        <v>4.3491504471173482E-2</v>
      </c>
      <c r="Q278" s="31">
        <f t="shared" si="68"/>
        <v>4.3491504471173482E-2</v>
      </c>
      <c r="R278" s="31">
        <f t="shared" si="68"/>
        <v>4.3491504471173482E-2</v>
      </c>
      <c r="S278" s="31">
        <f t="shared" si="68"/>
        <v>4.3491504471173482E-2</v>
      </c>
      <c r="T278" s="31">
        <f t="shared" si="68"/>
        <v>4.3491504471173482E-2</v>
      </c>
    </row>
    <row r="279" spans="4:20" x14ac:dyDescent="0.3">
      <c r="D279" s="25" t="s">
        <v>206</v>
      </c>
      <c r="E279" s="6">
        <f t="shared" si="48"/>
        <v>28</v>
      </c>
      <c r="I279" s="11">
        <f>I278*I246</f>
        <v>41723861.130000003</v>
      </c>
      <c r="J279" s="11">
        <f>J278*J246</f>
        <v>57158741.479999997</v>
      </c>
      <c r="K279" s="11">
        <f>K278*K246</f>
        <v>48440704.739999898</v>
      </c>
      <c r="L279" s="11">
        <f>L278*L246</f>
        <v>47010372.449999996</v>
      </c>
      <c r="M279" s="11">
        <f>M278*M246</f>
        <v>65667124.581618987</v>
      </c>
      <c r="N279" s="11">
        <f>N278*N246</f>
        <v>72233837.039780885</v>
      </c>
      <c r="O279" s="11">
        <f>O278*O246</f>
        <v>79457220.743758991</v>
      </c>
      <c r="P279" s="11">
        <f>P278*P246</f>
        <v>87402942.818134889</v>
      </c>
      <c r="Q279" s="11">
        <f>Q278*Q246</f>
        <v>96143237.099948376</v>
      </c>
      <c r="R279" s="11">
        <f>R278*R246</f>
        <v>105757560.80994321</v>
      </c>
      <c r="S279" s="11">
        <f>S278*S246</f>
        <v>116333316.89093757</v>
      </c>
      <c r="T279" s="11">
        <f>T278*T246</f>
        <v>127966648.58003134</v>
      </c>
    </row>
    <row r="280" spans="4:20" x14ac:dyDescent="0.3">
      <c r="E280" s="6">
        <f t="shared" si="48"/>
        <v>28</v>
      </c>
    </row>
    <row r="281" spans="4:20" x14ac:dyDescent="0.3">
      <c r="D281" s="25" t="s">
        <v>207</v>
      </c>
      <c r="E281" s="6">
        <f t="shared" si="48"/>
        <v>29</v>
      </c>
      <c r="I281" s="31">
        <f>I196</f>
        <v>4.9475375321808256E-2</v>
      </c>
      <c r="J281" s="31">
        <f t="shared" ref="J281:T281" si="69">J196</f>
        <v>9.6458896403158523E-2</v>
      </c>
      <c r="K281" s="31">
        <f t="shared" si="69"/>
        <v>6.2268763421389615E-2</v>
      </c>
      <c r="L281" s="31">
        <f t="shared" si="69"/>
        <v>6.3057263778031683E-2</v>
      </c>
      <c r="M281" s="31">
        <f t="shared" si="69"/>
        <v>7.0000000000000007E-2</v>
      </c>
      <c r="N281" s="31">
        <f t="shared" si="69"/>
        <v>7.0000000000000007E-2</v>
      </c>
      <c r="O281" s="31">
        <f t="shared" si="69"/>
        <v>7.0000000000000007E-2</v>
      </c>
      <c r="P281" s="31">
        <f t="shared" si="69"/>
        <v>7.0000000000000007E-2</v>
      </c>
      <c r="Q281" s="31">
        <f t="shared" si="69"/>
        <v>7.0000000000000007E-2</v>
      </c>
      <c r="R281" s="31">
        <f t="shared" si="69"/>
        <v>7.0000000000000007E-2</v>
      </c>
      <c r="S281" s="31">
        <f t="shared" si="69"/>
        <v>7.0000000000000007E-2</v>
      </c>
      <c r="T281" s="31">
        <f t="shared" si="69"/>
        <v>7.0000000000000007E-2</v>
      </c>
    </row>
    <row r="282" spans="4:20" x14ac:dyDescent="0.3">
      <c r="D282" s="25" t="s">
        <v>208</v>
      </c>
      <c r="E282" s="6">
        <f t="shared" si="48"/>
        <v>30</v>
      </c>
      <c r="I282" s="11">
        <f>I281*I238</f>
        <v>187229390.90000001</v>
      </c>
      <c r="J282" s="11">
        <f>J281*J238</f>
        <v>374690412.97000003</v>
      </c>
      <c r="K282" s="11">
        <f>K281*K238</f>
        <v>341285507.56999999</v>
      </c>
      <c r="L282" s="11">
        <f>L281*L238</f>
        <v>321647724.83999997</v>
      </c>
      <c r="M282" s="11">
        <f>M281*M238</f>
        <v>392767991.00991845</v>
      </c>
      <c r="N282" s="11">
        <f>N281*N238</f>
        <v>432044790.1109103</v>
      </c>
      <c r="O282" s="11">
        <f>O281*O238</f>
        <v>475249269.12200141</v>
      </c>
      <c r="P282" s="11">
        <f>P281*P238</f>
        <v>522774196.03420156</v>
      </c>
      <c r="Q282" s="11">
        <f>Q281*Q238</f>
        <v>575051615.63762176</v>
      </c>
      <c r="R282" s="11">
        <f>R281*R238</f>
        <v>632556777.20138395</v>
      </c>
      <c r="S282" s="11">
        <f>S281*S238</f>
        <v>695812454.92152238</v>
      </c>
      <c r="T282" s="11">
        <f>T281*T238</f>
        <v>765393700.41367471</v>
      </c>
    </row>
    <row r="283" spans="4:20" x14ac:dyDescent="0.3">
      <c r="E283" s="6">
        <f t="shared" si="48"/>
        <v>30</v>
      </c>
    </row>
    <row r="284" spans="4:20" ht="13.5" thickBot="1" x14ac:dyDescent="0.35">
      <c r="D284" s="46" t="s">
        <v>212</v>
      </c>
      <c r="E284" s="6">
        <f t="shared" si="48"/>
        <v>31</v>
      </c>
      <c r="F284" s="14"/>
      <c r="G284" s="14"/>
      <c r="H284" s="14"/>
      <c r="I284" s="12">
        <f>I282+I279+I276+I273+I270+I267+I264+I261+I258+I255+I252+I249+I246</f>
        <v>2572603153.1239486</v>
      </c>
      <c r="J284" s="12">
        <f t="shared" ref="J284:T284" si="70">J282+J279+J276+J273+J270+J267+J264+J261+J258+J255+J252+J249+J246</f>
        <v>3073937455.2291746</v>
      </c>
      <c r="K284" s="12">
        <f t="shared" si="70"/>
        <v>3898589669.1349096</v>
      </c>
      <c r="L284" s="12">
        <f t="shared" si="70"/>
        <v>4021732916.1051283</v>
      </c>
      <c r="M284" s="12">
        <f t="shared" si="70"/>
        <v>4455268853.6936169</v>
      </c>
      <c r="N284" s="12">
        <f t="shared" si="70"/>
        <v>4897677611.8512726</v>
      </c>
      <c r="O284" s="12">
        <f t="shared" si="70"/>
        <v>5384717555.5540867</v>
      </c>
      <c r="P284" s="12">
        <f t="shared" si="70"/>
        <v>5920802946.5670633</v>
      </c>
      <c r="Q284" s="12">
        <f t="shared" si="70"/>
        <v>6510795588.4514332</v>
      </c>
      <c r="R284" s="12">
        <f t="shared" si="70"/>
        <v>7160048815.2251987</v>
      </c>
      <c r="S284" s="12">
        <f t="shared" si="70"/>
        <v>7874455974.7131233</v>
      </c>
      <c r="T284" s="12">
        <f t="shared" si="70"/>
        <v>8660503844.0604897</v>
      </c>
    </row>
    <row r="285" spans="4:20" x14ac:dyDescent="0.3">
      <c r="E285" s="6">
        <f t="shared" si="48"/>
        <v>31</v>
      </c>
    </row>
    <row r="286" spans="4:20" x14ac:dyDescent="0.3">
      <c r="D286" s="25" t="s">
        <v>213</v>
      </c>
      <c r="E286" s="6">
        <f t="shared" si="48"/>
        <v>32</v>
      </c>
      <c r="I286" s="28">
        <f>I16-I25+I14</f>
        <v>2572603153.1239486</v>
      </c>
      <c r="J286" s="28">
        <f>J16-J25+J14</f>
        <v>3073937455.2291751</v>
      </c>
      <c r="K286" s="28">
        <f>K16-K25+K14</f>
        <v>3898589669.1349096</v>
      </c>
      <c r="L286" s="28">
        <f>L16-L25+L14</f>
        <v>4021732916.1051283</v>
      </c>
      <c r="M286" s="28">
        <f>M16-M25+M14</f>
        <v>0</v>
      </c>
      <c r="N286" s="28">
        <f>N16-N25+N14</f>
        <v>0</v>
      </c>
      <c r="O286" s="28">
        <f>O16-O25+O14</f>
        <v>0</v>
      </c>
      <c r="P286" s="28">
        <f>P16-P25+P14</f>
        <v>0</v>
      </c>
      <c r="Q286" s="28">
        <f>Q16-Q25+Q14</f>
        <v>0</v>
      </c>
      <c r="R286" s="28">
        <f>R16-R25+R14</f>
        <v>0</v>
      </c>
      <c r="S286" s="28">
        <f>S16-S25+S14</f>
        <v>0</v>
      </c>
      <c r="T286" s="28">
        <f>T16-T25+T14</f>
        <v>0</v>
      </c>
    </row>
    <row r="287" spans="4:20" x14ac:dyDescent="0.3">
      <c r="D287" s="25" t="s">
        <v>102</v>
      </c>
      <c r="E287" s="6">
        <f t="shared" si="48"/>
        <v>33</v>
      </c>
      <c r="I287" s="28">
        <f>I286-I284</f>
        <v>0</v>
      </c>
      <c r="J287" s="28">
        <f t="shared" ref="J287:T287" si="71">J286-J284</f>
        <v>0</v>
      </c>
      <c r="K287" s="28">
        <f t="shared" si="71"/>
        <v>0</v>
      </c>
      <c r="L287" s="28">
        <f t="shared" si="71"/>
        <v>0</v>
      </c>
      <c r="M287" s="28">
        <f t="shared" si="71"/>
        <v>-4455268853.6936169</v>
      </c>
      <c r="N287" s="28">
        <f t="shared" si="71"/>
        <v>-4897677611.8512726</v>
      </c>
      <c r="O287" s="28">
        <f t="shared" si="71"/>
        <v>-5384717555.5540867</v>
      </c>
      <c r="P287" s="28">
        <f t="shared" si="71"/>
        <v>-5920802946.5670633</v>
      </c>
      <c r="Q287" s="28">
        <f t="shared" si="71"/>
        <v>-6510795588.4514332</v>
      </c>
      <c r="R287" s="28">
        <f t="shared" si="71"/>
        <v>-7160048815.2251987</v>
      </c>
      <c r="S287" s="28">
        <f t="shared" si="71"/>
        <v>-7874455974.7131233</v>
      </c>
      <c r="T287" s="28">
        <f t="shared" si="71"/>
        <v>-8660503844.0604897</v>
      </c>
    </row>
    <row r="288" spans="4:20" x14ac:dyDescent="0.3">
      <c r="D288" s="25" t="s">
        <v>120</v>
      </c>
      <c r="E288" s="6">
        <f t="shared" si="48"/>
        <v>34</v>
      </c>
      <c r="I288" s="28"/>
      <c r="J288" s="28"/>
      <c r="K288" s="28"/>
      <c r="L288" s="28"/>
      <c r="M288" s="28"/>
      <c r="N288" s="28"/>
      <c r="O288" s="28"/>
      <c r="P288" s="28"/>
      <c r="Q288" s="28"/>
      <c r="R288" s="28"/>
      <c r="S288" s="28"/>
      <c r="T288" s="28"/>
    </row>
    <row r="289" spans="1:20" x14ac:dyDescent="0.3">
      <c r="D289" s="25"/>
      <c r="E289" s="6">
        <f t="shared" si="48"/>
        <v>34</v>
      </c>
      <c r="I289" s="28"/>
      <c r="J289" s="28"/>
      <c r="K289" s="28"/>
      <c r="L289" s="28"/>
      <c r="M289" s="28"/>
      <c r="N289" s="28"/>
      <c r="O289" s="28"/>
      <c r="P289" s="28"/>
      <c r="Q289" s="28"/>
      <c r="R289" s="28"/>
      <c r="S289" s="28"/>
      <c r="T289" s="28"/>
    </row>
    <row r="290" spans="1:20" x14ac:dyDescent="0.3">
      <c r="D290" s="25" t="s">
        <v>222</v>
      </c>
      <c r="E290" s="6">
        <f t="shared" si="48"/>
        <v>35</v>
      </c>
      <c r="I290" s="28">
        <f>I238+I242-I284</f>
        <v>1190330303.5500312</v>
      </c>
      <c r="J290" s="28">
        <f t="shared" ref="J290:T290" si="72">J238+J242-J284</f>
        <v>806071086.80130529</v>
      </c>
      <c r="K290" s="28">
        <f t="shared" si="72"/>
        <v>1579952239.4920807</v>
      </c>
      <c r="L290" s="28">
        <f t="shared" si="72"/>
        <v>1078315384.0636816</v>
      </c>
      <c r="M290" s="28">
        <f t="shared" si="72"/>
        <v>1145358853.7237959</v>
      </c>
      <c r="N290" s="28">
        <f t="shared" si="72"/>
        <v>1263012866.3078823</v>
      </c>
      <c r="O290" s="28">
        <f t="shared" si="72"/>
        <v>1392041970.4209843</v>
      </c>
      <c r="P290" s="28">
        <f t="shared" si="72"/>
        <v>1533632532.0055161</v>
      </c>
      <c r="Q290" s="28">
        <f t="shared" si="72"/>
        <v>1689083437.978404</v>
      </c>
      <c r="R290" s="28">
        <f t="shared" si="72"/>
        <v>1859818113.8476219</v>
      </c>
      <c r="S290" s="28">
        <f t="shared" si="72"/>
        <v>2047397647.2669811</v>
      </c>
      <c r="T290" s="28">
        <f t="shared" si="72"/>
        <v>2253535140.1176262</v>
      </c>
    </row>
    <row r="291" spans="1:20" x14ac:dyDescent="0.3">
      <c r="E291" s="6">
        <f t="shared" si="48"/>
        <v>35</v>
      </c>
    </row>
    <row r="292" spans="1:20" x14ac:dyDescent="0.3">
      <c r="A292" s="7" t="s">
        <v>173</v>
      </c>
      <c r="E292" s="6">
        <f t="shared" si="48"/>
        <v>35</v>
      </c>
    </row>
    <row r="293" spans="1:20" x14ac:dyDescent="0.3">
      <c r="D293" s="25" t="s">
        <v>214</v>
      </c>
      <c r="E293" s="6">
        <f t="shared" si="48"/>
        <v>36</v>
      </c>
      <c r="I293" s="31">
        <f>I223</f>
        <v>0.32902824120649049</v>
      </c>
      <c r="J293" s="31">
        <f>J223</f>
        <v>0.52414105770328245</v>
      </c>
      <c r="K293" s="31">
        <f>K223</f>
        <v>0.26857406118203098</v>
      </c>
      <c r="L293" s="31">
        <f>L223</f>
        <v>0.12055342713593653</v>
      </c>
      <c r="M293" s="31">
        <f>M223</f>
        <v>0.12055342713593653</v>
      </c>
      <c r="N293" s="31">
        <f>N223</f>
        <v>0.12055342713593653</v>
      </c>
      <c r="O293" s="31">
        <f>O223</f>
        <v>0.12055342713593653</v>
      </c>
      <c r="P293" s="31">
        <f>P223</f>
        <v>0.12055342713593653</v>
      </c>
      <c r="Q293" s="31">
        <f>Q223</f>
        <v>0.12055342713593653</v>
      </c>
      <c r="R293" s="31">
        <f>R223</f>
        <v>0.12055342713593653</v>
      </c>
      <c r="S293" s="31">
        <f>S223</f>
        <v>0.12055342713593653</v>
      </c>
      <c r="T293" s="31">
        <f>T223</f>
        <v>0.12055342713593653</v>
      </c>
    </row>
    <row r="294" spans="1:20" x14ac:dyDescent="0.3">
      <c r="D294" s="25" t="s">
        <v>215</v>
      </c>
      <c r="E294" s="6">
        <f t="shared" si="48"/>
        <v>37</v>
      </c>
      <c r="I294" s="11">
        <f>I293*I238</f>
        <v>1245139764.7676899</v>
      </c>
      <c r="J294" s="11">
        <f>J293*J238</f>
        <v>2036003278.9981699</v>
      </c>
      <c r="K294" s="11">
        <f>K293*K238</f>
        <v>1472013088.9761636</v>
      </c>
      <c r="L294" s="11">
        <f>L293*L238</f>
        <v>614928927.08496583</v>
      </c>
      <c r="M294" s="11">
        <f>M293*M238</f>
        <v>676421819.7934624</v>
      </c>
      <c r="N294" s="11">
        <f>N293*N238</f>
        <v>744064001.77280879</v>
      </c>
      <c r="O294" s="11">
        <f>O293*O238</f>
        <v>818470401.95008969</v>
      </c>
      <c r="P294" s="11">
        <f>P293*P238</f>
        <v>900317442.14509881</v>
      </c>
      <c r="Q294" s="11">
        <f>Q293*Q238</f>
        <v>990349186.35960865</v>
      </c>
      <c r="R294" s="11">
        <f>R293*R238</f>
        <v>1089384104.9955695</v>
      </c>
      <c r="S294" s="11">
        <f>S293*S238</f>
        <v>1198322515.4951267</v>
      </c>
      <c r="T294" s="11">
        <f>T293*T238</f>
        <v>1318154767.0446396</v>
      </c>
    </row>
    <row r="295" spans="1:20" x14ac:dyDescent="0.3">
      <c r="E295" s="6">
        <f t="shared" si="48"/>
        <v>37</v>
      </c>
    </row>
    <row r="296" spans="1:20" x14ac:dyDescent="0.3">
      <c r="D296" s="6" t="s">
        <v>216</v>
      </c>
      <c r="E296" s="6">
        <f t="shared" si="48"/>
        <v>38</v>
      </c>
      <c r="I296" s="31">
        <f>I226</f>
        <v>1.1410288265393824</v>
      </c>
      <c r="J296" s="31">
        <f>J226</f>
        <v>1.8331361955189398</v>
      </c>
      <c r="K296" s="31">
        <f>K226</f>
        <v>0.96819687316189018</v>
      </c>
      <c r="L296" s="31">
        <f>L226</f>
        <v>1.1768071234021473</v>
      </c>
      <c r="M296" s="31">
        <f>M226</f>
        <v>1.1768071234021473</v>
      </c>
      <c r="N296" s="31">
        <f>N226</f>
        <v>1.1768071234021473</v>
      </c>
      <c r="O296" s="31">
        <f>O226</f>
        <v>1.1768071234021473</v>
      </c>
      <c r="P296" s="31">
        <f>P226</f>
        <v>1.1768071234021473</v>
      </c>
      <c r="Q296" s="31">
        <f>Q226</f>
        <v>1.1768071234021473</v>
      </c>
      <c r="R296" s="31">
        <f>R226</f>
        <v>1.1768071234021473</v>
      </c>
      <c r="S296" s="31">
        <f>S226</f>
        <v>1.1768071234021473</v>
      </c>
      <c r="T296" s="31">
        <f>T226</f>
        <v>1.1768071234021473</v>
      </c>
    </row>
    <row r="297" spans="1:20" x14ac:dyDescent="0.3">
      <c r="D297" s="25" t="s">
        <v>217</v>
      </c>
      <c r="E297" s="6">
        <f t="shared" si="48"/>
        <v>39</v>
      </c>
      <c r="I297" s="11">
        <f>I296*I246</f>
        <v>1092132238.2381248</v>
      </c>
      <c r="J297" s="11">
        <f>J296*J246</f>
        <v>1614585981.0089502</v>
      </c>
      <c r="K297" s="11">
        <f>K296*K246</f>
        <v>1501776768.6604426</v>
      </c>
      <c r="L297" s="11">
        <f>L296*L246</f>
        <v>1615311080.3556349</v>
      </c>
      <c r="M297" s="11">
        <f>M296*M246</f>
        <v>1776842188.3911984</v>
      </c>
      <c r="N297" s="11">
        <f>N296*N246</f>
        <v>1954526407.2303183</v>
      </c>
      <c r="O297" s="11">
        <f>O296*O246</f>
        <v>2149979047.9533505</v>
      </c>
      <c r="P297" s="11">
        <f>P296*P246</f>
        <v>2364976952.7486854</v>
      </c>
      <c r="Q297" s="11">
        <f>Q296*Q246</f>
        <v>2601474648.0235538</v>
      </c>
      <c r="R297" s="11">
        <f>R296*R246</f>
        <v>2861622112.8259091</v>
      </c>
      <c r="S297" s="11">
        <f>S296*S246</f>
        <v>3147784324.108501</v>
      </c>
      <c r="T297" s="11">
        <f>T296*T246</f>
        <v>3462562756.5193515</v>
      </c>
    </row>
    <row r="298" spans="1:20" x14ac:dyDescent="0.3">
      <c r="E298" s="6">
        <f t="shared" si="48"/>
        <v>39</v>
      </c>
    </row>
    <row r="299" spans="1:20" x14ac:dyDescent="0.3">
      <c r="D299" s="25" t="s">
        <v>218</v>
      </c>
      <c r="E299" s="6">
        <f t="shared" si="48"/>
        <v>40</v>
      </c>
      <c r="I299" s="31">
        <f>I229</f>
        <v>0.37276151415019898</v>
      </c>
      <c r="J299" s="31">
        <f>J229</f>
        <v>1.8329683767776335</v>
      </c>
      <c r="K299" s="31">
        <f>K229</f>
        <v>0.33997959661948068</v>
      </c>
      <c r="L299" s="31">
        <f>L229</f>
        <v>0.52551452247214692</v>
      </c>
      <c r="M299" s="31">
        <f>M229</f>
        <v>0.52551452247214692</v>
      </c>
      <c r="N299" s="31">
        <f>N229</f>
        <v>0.52551452247214692</v>
      </c>
      <c r="O299" s="31">
        <f>O229</f>
        <v>0.52551452247214692</v>
      </c>
      <c r="P299" s="31">
        <f>P229</f>
        <v>0.52551452247214692</v>
      </c>
      <c r="Q299" s="31">
        <f>Q229</f>
        <v>0.52551452247214692</v>
      </c>
      <c r="R299" s="31">
        <f>R229</f>
        <v>0.52551452247214692</v>
      </c>
      <c r="S299" s="31">
        <f>S229</f>
        <v>0.52551452247214692</v>
      </c>
      <c r="T299" s="31">
        <f>T229</f>
        <v>0.52551452247214692</v>
      </c>
    </row>
    <row r="300" spans="1:20" x14ac:dyDescent="0.3">
      <c r="D300" s="25" t="s">
        <v>219</v>
      </c>
      <c r="E300" s="6">
        <f t="shared" si="48"/>
        <v>41</v>
      </c>
      <c r="I300" s="11">
        <f>I299*I246</f>
        <v>356787538.84999955</v>
      </c>
      <c r="J300" s="11">
        <f>J299*J246</f>
        <v>1614438169.9582896</v>
      </c>
      <c r="K300" s="11">
        <f>K299*K246</f>
        <v>527344669.43099964</v>
      </c>
      <c r="L300" s="11">
        <f>L299*L246</f>
        <v>721332675.64099979</v>
      </c>
      <c r="M300" s="11">
        <f>M299*M246</f>
        <v>793465943.20509982</v>
      </c>
      <c r="N300" s="11">
        <f>N299*N246</f>
        <v>872812537.52560985</v>
      </c>
      <c r="O300" s="11">
        <f>O299*O246</f>
        <v>960093791.27817094</v>
      </c>
      <c r="P300" s="11">
        <f>P299*P246</f>
        <v>1056103170.405988</v>
      </c>
      <c r="Q300" s="11">
        <f>Q299*Q246</f>
        <v>1161713487.4465868</v>
      </c>
      <c r="R300" s="11">
        <f>R299*R246</f>
        <v>1277884836.1912456</v>
      </c>
      <c r="S300" s="11">
        <f>S299*S246</f>
        <v>1405673319.8103704</v>
      </c>
      <c r="T300" s="11">
        <f>T299*T246</f>
        <v>1546240651.7914076</v>
      </c>
    </row>
    <row r="301" spans="1:20" x14ac:dyDescent="0.3">
      <c r="E301" s="6">
        <f t="shared" si="48"/>
        <v>41</v>
      </c>
    </row>
    <row r="302" spans="1:20" x14ac:dyDescent="0.3">
      <c r="D302" s="25" t="s">
        <v>220</v>
      </c>
      <c r="E302" s="6">
        <f t="shared" si="48"/>
        <v>42</v>
      </c>
      <c r="I302" s="11">
        <f>I294+I297-I300</f>
        <v>1980484464.1558151</v>
      </c>
      <c r="J302" s="11">
        <f t="shared" ref="J302:T302" si="73">J294+J297-J300</f>
        <v>2036151090.0488305</v>
      </c>
      <c r="K302" s="11">
        <f t="shared" si="73"/>
        <v>2446445188.2056065</v>
      </c>
      <c r="L302" s="11">
        <f t="shared" si="73"/>
        <v>1508907331.7996011</v>
      </c>
      <c r="M302" s="11">
        <f t="shared" si="73"/>
        <v>1659798064.9795611</v>
      </c>
      <c r="N302" s="11">
        <f t="shared" si="73"/>
        <v>1825777871.4775171</v>
      </c>
      <c r="O302" s="11">
        <f t="shared" si="73"/>
        <v>2008355658.6252694</v>
      </c>
      <c r="P302" s="11">
        <f t="shared" si="73"/>
        <v>2209191224.4877958</v>
      </c>
      <c r="Q302" s="11">
        <f t="shared" si="73"/>
        <v>2430110346.9365759</v>
      </c>
      <c r="R302" s="11">
        <f t="shared" si="73"/>
        <v>2673121381.6302333</v>
      </c>
      <c r="S302" s="11">
        <f t="shared" si="73"/>
        <v>2940433519.7932577</v>
      </c>
      <c r="T302" s="11">
        <f t="shared" si="73"/>
        <v>3234476871.772584</v>
      </c>
    </row>
    <row r="303" spans="1:20" x14ac:dyDescent="0.3">
      <c r="D303" s="25" t="s">
        <v>221</v>
      </c>
      <c r="E303" s="6">
        <f t="shared" ref="E303:E328" si="74">IF(D303="",E302,E302+1)</f>
        <v>43</v>
      </c>
      <c r="J303" s="11">
        <f>J302-I302</f>
        <v>55666625.893015385</v>
      </c>
      <c r="K303" s="11">
        <f t="shared" ref="K303:T303" si="75">K302-J302</f>
        <v>410294098.15677595</v>
      </c>
      <c r="L303" s="11">
        <f t="shared" si="75"/>
        <v>-937537856.40600538</v>
      </c>
      <c r="M303" s="11">
        <f t="shared" si="75"/>
        <v>150890733.17996001</v>
      </c>
      <c r="N303" s="11">
        <f t="shared" si="75"/>
        <v>165979806.49795604</v>
      </c>
      <c r="O303" s="11">
        <f t="shared" si="75"/>
        <v>182577787.14775229</v>
      </c>
      <c r="P303" s="11">
        <f t="shared" si="75"/>
        <v>200835565.86252642</v>
      </c>
      <c r="Q303" s="11">
        <f t="shared" si="75"/>
        <v>220919122.44878006</v>
      </c>
      <c r="R303" s="11">
        <f t="shared" si="75"/>
        <v>243011034.6936574</v>
      </c>
      <c r="S303" s="11">
        <f t="shared" si="75"/>
        <v>267312138.16302443</v>
      </c>
      <c r="T303" s="11">
        <f t="shared" si="75"/>
        <v>294043351.97932625</v>
      </c>
    </row>
    <row r="304" spans="1:20" x14ac:dyDescent="0.3">
      <c r="E304" s="6">
        <f t="shared" si="74"/>
        <v>43</v>
      </c>
    </row>
    <row r="305" spans="1:20" x14ac:dyDescent="0.3">
      <c r="A305" s="7" t="s">
        <v>174</v>
      </c>
      <c r="E305" s="6">
        <f t="shared" si="74"/>
        <v>43</v>
      </c>
    </row>
    <row r="306" spans="1:20" x14ac:dyDescent="0.3">
      <c r="D306" s="6" t="s">
        <v>209</v>
      </c>
      <c r="E306" s="6">
        <f t="shared" si="74"/>
        <v>44</v>
      </c>
      <c r="I306" s="6">
        <f>I220</f>
        <v>0</v>
      </c>
      <c r="J306" s="11">
        <f>J220</f>
        <v>219263835.04000002</v>
      </c>
      <c r="K306" s="11">
        <f>K220</f>
        <v>107875748.44720006</v>
      </c>
      <c r="L306" s="11">
        <f>L220</f>
        <v>168312333.91000003</v>
      </c>
      <c r="M306" s="11">
        <f>M220</f>
        <v>185143567.30100006</v>
      </c>
      <c r="N306" s="11">
        <f>N220</f>
        <v>203657924.03110006</v>
      </c>
      <c r="O306" s="11">
        <f>O220</f>
        <v>224023716.43421009</v>
      </c>
      <c r="P306" s="11">
        <f>P220</f>
        <v>246426088.07763115</v>
      </c>
      <c r="Q306" s="11">
        <f>Q220</f>
        <v>271068696.88539428</v>
      </c>
      <c r="R306" s="11">
        <f>R220</f>
        <v>298175566.57393372</v>
      </c>
      <c r="S306" s="11">
        <f>S220</f>
        <v>327993123.23132718</v>
      </c>
      <c r="T306" s="11">
        <f>T220</f>
        <v>360792435.55445987</v>
      </c>
    </row>
    <row r="307" spans="1:20" x14ac:dyDescent="0.3">
      <c r="D307" s="6" t="s">
        <v>210</v>
      </c>
      <c r="E307" s="6">
        <f t="shared" si="74"/>
        <v>45</v>
      </c>
      <c r="I307" s="31">
        <f>I200</f>
        <v>0</v>
      </c>
      <c r="J307" s="31">
        <f>J200</f>
        <v>3.0212644665502594E-2</v>
      </c>
      <c r="K307" s="31">
        <f>K200</f>
        <v>0.1071628047841874</v>
      </c>
      <c r="L307" s="31">
        <f>L200</f>
        <v>0.12517440851316325</v>
      </c>
      <c r="M307" s="31">
        <f>M200</f>
        <v>0.12517440851316325</v>
      </c>
      <c r="N307" s="31">
        <f>N200</f>
        <v>0.12517440851316325</v>
      </c>
      <c r="O307" s="31">
        <f>O200</f>
        <v>0.12517440851316325</v>
      </c>
      <c r="P307" s="31">
        <f>P200</f>
        <v>0.12517440851316325</v>
      </c>
      <c r="Q307" s="31">
        <f>Q200</f>
        <v>0.12517440851316325</v>
      </c>
      <c r="R307" s="31">
        <f>R200</f>
        <v>0.12517440851316325</v>
      </c>
      <c r="S307" s="31">
        <f>S200</f>
        <v>0.12517440851316325</v>
      </c>
      <c r="T307" s="31">
        <f>T200</f>
        <v>0.12517440851316325</v>
      </c>
    </row>
    <row r="308" spans="1:20" x14ac:dyDescent="0.3">
      <c r="D308" s="6" t="s">
        <v>211</v>
      </c>
      <c r="E308" s="6">
        <f t="shared" si="74"/>
        <v>46</v>
      </c>
      <c r="I308" s="6">
        <f>IF(I3,I199,I310*I307)</f>
        <v>0</v>
      </c>
      <c r="J308" s="11">
        <f>IF(J3,J199,J310*J307)</f>
        <v>25464384.059999999</v>
      </c>
      <c r="K308" s="11">
        <f>IF(K3,K199,K310*K307)</f>
        <v>111089044.38</v>
      </c>
      <c r="L308" s="11">
        <f>IF(L3,L199,L310*L307)</f>
        <v>129358336.3</v>
      </c>
      <c r="M308" s="11">
        <f>IF(M3,M199,M310*M307)</f>
        <v>134234379.91005492</v>
      </c>
      <c r="N308" s="11">
        <f>IF(N3,N199,N310*N307)</f>
        <v>140606907.32960227</v>
      </c>
      <c r="O308" s="11">
        <f>IF(O3,O199,O310*O307)</f>
        <v>148499281.05136582</v>
      </c>
      <c r="P308" s="11">
        <f>IF(P3,P199,P310*P307)</f>
        <v>157953007.57870397</v>
      </c>
      <c r="Q308" s="11">
        <f>IF(Q3,Q199,Q310*Q307)</f>
        <v>169027573.09949467</v>
      </c>
      <c r="R308" s="11">
        <f>IF(R3,R199,R310*R307)</f>
        <v>181800510.41341314</v>
      </c>
      <c r="S308" s="11">
        <f>IF(S3,S199,S310*S307)</f>
        <v>196367689.23399249</v>
      </c>
      <c r="T308" s="11">
        <f>IF(T3,T199,T310*T307)</f>
        <v>212843825.07989722</v>
      </c>
    </row>
    <row r="309" spans="1:20" x14ac:dyDescent="0.3">
      <c r="E309" s="6">
        <f t="shared" si="74"/>
        <v>46</v>
      </c>
    </row>
    <row r="310" spans="1:20" x14ac:dyDescent="0.3">
      <c r="D310" s="25" t="s">
        <v>223</v>
      </c>
      <c r="E310" s="6">
        <f t="shared" si="74"/>
        <v>47</v>
      </c>
      <c r="J310" s="11">
        <f>I313</f>
        <v>842838630.71000016</v>
      </c>
      <c r="K310" s="11">
        <f t="shared" ref="K310:T310" si="76">J313</f>
        <v>1036638081.6900002</v>
      </c>
      <c r="L310" s="11">
        <f t="shared" si="76"/>
        <v>1033424785.7572002</v>
      </c>
      <c r="M310" s="11">
        <f t="shared" si="76"/>
        <v>1072378783.3672003</v>
      </c>
      <c r="N310" s="11">
        <f t="shared" si="76"/>
        <v>1123287970.7581453</v>
      </c>
      <c r="O310" s="11">
        <f t="shared" si="76"/>
        <v>1186338987.4596431</v>
      </c>
      <c r="P310" s="11">
        <f t="shared" si="76"/>
        <v>1261863422.8424873</v>
      </c>
      <c r="Q310" s="11">
        <f t="shared" si="76"/>
        <v>1350336503.3414147</v>
      </c>
      <c r="R310" s="11">
        <f t="shared" si="76"/>
        <v>1452377627.1273143</v>
      </c>
      <c r="S310" s="11">
        <f t="shared" si="76"/>
        <v>1568752683.2878351</v>
      </c>
      <c r="T310" s="11">
        <f t="shared" si="76"/>
        <v>1700378117.2851696</v>
      </c>
    </row>
    <row r="311" spans="1:20" x14ac:dyDescent="0.3">
      <c r="D311" s="25" t="s">
        <v>224</v>
      </c>
      <c r="E311" s="6">
        <f t="shared" si="74"/>
        <v>48</v>
      </c>
      <c r="J311" s="11">
        <f>J306</f>
        <v>219263835.04000002</v>
      </c>
      <c r="K311" s="11">
        <f t="shared" ref="K311:T311" si="77">K306</f>
        <v>107875748.44720006</v>
      </c>
      <c r="L311" s="11">
        <f t="shared" si="77"/>
        <v>168312333.91000003</v>
      </c>
      <c r="M311" s="11">
        <f t="shared" si="77"/>
        <v>185143567.30100006</v>
      </c>
      <c r="N311" s="11">
        <f t="shared" si="77"/>
        <v>203657924.03110006</v>
      </c>
      <c r="O311" s="11">
        <f t="shared" si="77"/>
        <v>224023716.43421009</v>
      </c>
      <c r="P311" s="11">
        <f t="shared" si="77"/>
        <v>246426088.07763115</v>
      </c>
      <c r="Q311" s="11">
        <f t="shared" si="77"/>
        <v>271068696.88539428</v>
      </c>
      <c r="R311" s="11">
        <f t="shared" si="77"/>
        <v>298175566.57393372</v>
      </c>
      <c r="S311" s="11">
        <f t="shared" si="77"/>
        <v>327993123.23132718</v>
      </c>
      <c r="T311" s="11">
        <f t="shared" si="77"/>
        <v>360792435.55445987</v>
      </c>
    </row>
    <row r="312" spans="1:20" x14ac:dyDescent="0.3">
      <c r="D312" s="25" t="s">
        <v>225</v>
      </c>
      <c r="E312" s="6">
        <f t="shared" si="74"/>
        <v>49</v>
      </c>
      <c r="J312" s="11">
        <f>J308</f>
        <v>25464384.059999999</v>
      </c>
      <c r="K312" s="11">
        <f t="shared" ref="K312:T312" si="78">K308</f>
        <v>111089044.38</v>
      </c>
      <c r="L312" s="11">
        <f t="shared" si="78"/>
        <v>129358336.3</v>
      </c>
      <c r="M312" s="11">
        <f t="shared" si="78"/>
        <v>134234379.91005492</v>
      </c>
      <c r="N312" s="11">
        <f t="shared" si="78"/>
        <v>140606907.32960227</v>
      </c>
      <c r="O312" s="11">
        <f t="shared" si="78"/>
        <v>148499281.05136582</v>
      </c>
      <c r="P312" s="11">
        <f t="shared" si="78"/>
        <v>157953007.57870397</v>
      </c>
      <c r="Q312" s="11">
        <f t="shared" si="78"/>
        <v>169027573.09949467</v>
      </c>
      <c r="R312" s="11">
        <f t="shared" si="78"/>
        <v>181800510.41341314</v>
      </c>
      <c r="S312" s="11">
        <f t="shared" si="78"/>
        <v>196367689.23399249</v>
      </c>
      <c r="T312" s="11">
        <f t="shared" si="78"/>
        <v>212843825.07989722</v>
      </c>
    </row>
    <row r="313" spans="1:20" x14ac:dyDescent="0.3">
      <c r="D313" s="25" t="s">
        <v>226</v>
      </c>
      <c r="E313" s="6">
        <f t="shared" si="74"/>
        <v>50</v>
      </c>
      <c r="I313" s="11">
        <f>IF(I3,I85,I310+I311-I312)</f>
        <v>842838630.71000016</v>
      </c>
      <c r="J313" s="11">
        <f>IF(J3,J85,J310+J311-J312)</f>
        <v>1036638081.6900002</v>
      </c>
      <c r="K313" s="11">
        <f>IF(K3,K85,K310+K311-K312)</f>
        <v>1033424785.7572002</v>
      </c>
      <c r="L313" s="11">
        <f>IF(L3,L85,L310+L311-L312)</f>
        <v>1072378783.3672003</v>
      </c>
      <c r="M313" s="11">
        <f>IF(M3,M85,M310+M311-M312)</f>
        <v>1123287970.7581453</v>
      </c>
      <c r="N313" s="11">
        <f>IF(N3,N85,N310+N311-N312)</f>
        <v>1186338987.4596431</v>
      </c>
      <c r="O313" s="11">
        <f>IF(O3,O85,O310+O311-O312)</f>
        <v>1261863422.8424873</v>
      </c>
      <c r="P313" s="11">
        <f>IF(P3,P85,P310+P311-P312)</f>
        <v>1350336503.3414147</v>
      </c>
      <c r="Q313" s="11">
        <f>IF(Q3,Q85,Q310+Q311-Q312)</f>
        <v>1452377627.1273143</v>
      </c>
      <c r="R313" s="11">
        <f>IF(R3,R85,R310+R311-R312)</f>
        <v>1568752683.2878351</v>
      </c>
      <c r="S313" s="11">
        <f>IF(S3,S85,S310+S311-S312)</f>
        <v>1700378117.2851696</v>
      </c>
      <c r="T313" s="11">
        <f>IF(T3,T85,T310+T311-T312)</f>
        <v>1848326727.7597322</v>
      </c>
    </row>
    <row r="314" spans="1:20" x14ac:dyDescent="0.3">
      <c r="E314" s="6">
        <f t="shared" si="74"/>
        <v>50</v>
      </c>
    </row>
    <row r="315" spans="1:20" x14ac:dyDescent="0.3">
      <c r="B315" s="6" t="s">
        <v>175</v>
      </c>
      <c r="E315" s="6">
        <f t="shared" si="74"/>
        <v>50</v>
      </c>
    </row>
    <row r="316" spans="1:20" x14ac:dyDescent="0.3">
      <c r="C316" s="6" t="s">
        <v>227</v>
      </c>
      <c r="E316" s="6">
        <f t="shared" si="74"/>
        <v>50</v>
      </c>
    </row>
    <row r="317" spans="1:20" x14ac:dyDescent="0.3">
      <c r="D317" s="6" t="s">
        <v>251</v>
      </c>
      <c r="E317" s="6">
        <f t="shared" si="74"/>
        <v>51</v>
      </c>
      <c r="I317" s="28">
        <f>IF(I3,I53,I318*I333)</f>
        <v>94228324.520002559</v>
      </c>
      <c r="J317" s="28">
        <f>IF(J3,J53,J318*J333)</f>
        <v>719700731.07000268</v>
      </c>
      <c r="K317" s="28">
        <f>IF(K3,K53,K318*K333)</f>
        <v>233299232.75999841</v>
      </c>
      <c r="L317" s="28">
        <f>IF(L3,L53,L318*L333)</f>
        <v>199035728.0300006</v>
      </c>
      <c r="M317" s="28">
        <f>IF(M3,M53,M318*M333)</f>
        <v>168018831.22252238</v>
      </c>
      <c r="N317" s="28">
        <f>IF(N3,N53,N318*N333)</f>
        <v>184820714.34477463</v>
      </c>
      <c r="O317" s="28">
        <f>IF(O3,O53,O318*O333)</f>
        <v>203302785.77925211</v>
      </c>
      <c r="P317" s="28">
        <f>IF(P3,P53,P318*P333)</f>
        <v>223633064.35717738</v>
      </c>
      <c r="Q317" s="28">
        <f>IF(Q3,Q53,Q318*Q333)</f>
        <v>245996370.79289511</v>
      </c>
      <c r="R317" s="28">
        <f>IF(R3,R53,R318*R333)</f>
        <v>270596007.87218463</v>
      </c>
      <c r="S317" s="28">
        <f>IF(S3,S53,S318*S333)</f>
        <v>297655608.65940315</v>
      </c>
      <c r="T317" s="28">
        <f>IF(T3,T53,T318*T333)</f>
        <v>327421169.52534348</v>
      </c>
    </row>
    <row r="318" spans="1:20" x14ac:dyDescent="0.3">
      <c r="D318" s="6" t="s">
        <v>132</v>
      </c>
      <c r="E318" s="6">
        <f t="shared" si="74"/>
        <v>52</v>
      </c>
      <c r="H318" s="44">
        <v>0.03</v>
      </c>
      <c r="I318" s="31">
        <f>IF(I3,I317/I238,$H$318)</f>
        <v>2.4899839171416509E-2</v>
      </c>
      <c r="J318" s="31">
        <f>IF(J3,J317/J238,$H$318)</f>
        <v>0.18527706035840619</v>
      </c>
      <c r="K318" s="31">
        <f>IF(K3,K317/K238,$H$318)</f>
        <v>4.2566280749980021E-2</v>
      </c>
      <c r="L318" s="31">
        <f>IF(L3,L317/L238,$H$318)</f>
        <v>3.9019857547207895E-2</v>
      </c>
      <c r="M318" s="31">
        <f>IF(M3,M317/M238,$H$318)</f>
        <v>0.03</v>
      </c>
      <c r="N318" s="31">
        <f>IF(N3,N317/N238,$H$318)</f>
        <v>0.03</v>
      </c>
      <c r="O318" s="31">
        <f>IF(O3,O317/O238,$H$318)</f>
        <v>0.03</v>
      </c>
      <c r="P318" s="31">
        <f>IF(P3,P317/P238,$H$318)</f>
        <v>0.03</v>
      </c>
      <c r="Q318" s="31">
        <f>IF(Q3,Q317/Q238,$H$318)</f>
        <v>0.03</v>
      </c>
      <c r="R318" s="31">
        <f>IF(R3,R317/R238,$H$318)</f>
        <v>0.03</v>
      </c>
      <c r="S318" s="31">
        <f>IF(S3,S317/S238,$H$318)</f>
        <v>0.03</v>
      </c>
      <c r="T318" s="31">
        <f>IF(T3,T317/T238,$H$318)</f>
        <v>0.03</v>
      </c>
    </row>
    <row r="319" spans="1:20" x14ac:dyDescent="0.3">
      <c r="D319" s="6" t="s">
        <v>268</v>
      </c>
      <c r="E319" s="6">
        <f t="shared" si="74"/>
        <v>53</v>
      </c>
      <c r="I319" s="28">
        <f>I317-I321</f>
        <v>94228324.520002559</v>
      </c>
      <c r="J319" s="28">
        <f t="shared" ref="J319:T319" si="79">J317-J321</f>
        <v>625472406.55000007</v>
      </c>
      <c r="K319" s="28">
        <f>K317-K321</f>
        <v>-486401498.31000423</v>
      </c>
      <c r="L319" s="28">
        <f t="shared" si="79"/>
        <v>-34263504.729997814</v>
      </c>
      <c r="M319" s="28">
        <f t="shared" si="79"/>
        <v>-31016896.807478219</v>
      </c>
      <c r="N319" s="28">
        <f t="shared" si="79"/>
        <v>16801883.122252256</v>
      </c>
      <c r="O319" s="28">
        <f t="shared" si="79"/>
        <v>18482071.434477478</v>
      </c>
      <c r="P319" s="28">
        <f t="shared" si="79"/>
        <v>20330278.577925265</v>
      </c>
      <c r="Q319" s="28">
        <f t="shared" si="79"/>
        <v>22363306.435717732</v>
      </c>
      <c r="R319" s="28">
        <f t="shared" si="79"/>
        <v>24599637.079289526</v>
      </c>
      <c r="S319" s="28">
        <f t="shared" si="79"/>
        <v>27059600.787218511</v>
      </c>
      <c r="T319" s="28">
        <f t="shared" si="79"/>
        <v>29765560.865940332</v>
      </c>
    </row>
    <row r="320" spans="1:20" x14ac:dyDescent="0.3">
      <c r="E320" s="6">
        <f t="shared" si="74"/>
        <v>53</v>
      </c>
    </row>
    <row r="321" spans="1:20" x14ac:dyDescent="0.3">
      <c r="D321" s="6" t="s">
        <v>223</v>
      </c>
      <c r="E321" s="6">
        <f t="shared" si="74"/>
        <v>54</v>
      </c>
      <c r="I321" s="34">
        <v>0</v>
      </c>
      <c r="J321" s="11">
        <f>I323</f>
        <v>94228324.520002559</v>
      </c>
      <c r="K321" s="11">
        <f>J323</f>
        <v>719700731.07000268</v>
      </c>
      <c r="L321" s="11">
        <f t="shared" ref="L321:T321" si="80">K323</f>
        <v>233299232.75999841</v>
      </c>
      <c r="M321" s="11">
        <f t="shared" si="80"/>
        <v>199035728.0300006</v>
      </c>
      <c r="N321" s="11">
        <f t="shared" si="80"/>
        <v>168018831.22252238</v>
      </c>
      <c r="O321" s="11">
        <f t="shared" si="80"/>
        <v>184820714.34477463</v>
      </c>
      <c r="P321" s="11">
        <f t="shared" si="80"/>
        <v>203302785.77925211</v>
      </c>
      <c r="Q321" s="11">
        <f t="shared" si="80"/>
        <v>223633064.35717738</v>
      </c>
      <c r="R321" s="11">
        <f t="shared" si="80"/>
        <v>245996370.79289511</v>
      </c>
      <c r="S321" s="11">
        <f t="shared" si="80"/>
        <v>270596007.87218463</v>
      </c>
      <c r="T321" s="11">
        <f t="shared" si="80"/>
        <v>297655608.65940315</v>
      </c>
    </row>
    <row r="322" spans="1:20" x14ac:dyDescent="0.3">
      <c r="D322" s="6" t="s">
        <v>269</v>
      </c>
      <c r="E322" s="6">
        <f t="shared" si="74"/>
        <v>55</v>
      </c>
      <c r="I322" s="11">
        <f>I355</f>
        <v>94228324.520002559</v>
      </c>
      <c r="J322" s="11">
        <f>J355</f>
        <v>625472406.55000007</v>
      </c>
      <c r="K322" s="11">
        <f t="shared" ref="K322:T322" si="81">K355</f>
        <v>-486401498.31000423</v>
      </c>
      <c r="L322" s="11">
        <f t="shared" si="81"/>
        <v>-34263504.729997814</v>
      </c>
      <c r="M322" s="11">
        <f t="shared" si="81"/>
        <v>-31016896.807478219</v>
      </c>
      <c r="N322" s="11">
        <f t="shared" si="81"/>
        <v>16801883.122252256</v>
      </c>
      <c r="O322" s="11">
        <f t="shared" si="81"/>
        <v>18482071.434477478</v>
      </c>
      <c r="P322" s="11">
        <f t="shared" si="81"/>
        <v>20330278.577925265</v>
      </c>
      <c r="Q322" s="11">
        <f t="shared" si="81"/>
        <v>22363306.435717732</v>
      </c>
      <c r="R322" s="11">
        <f t="shared" si="81"/>
        <v>24599637.079289526</v>
      </c>
      <c r="S322" s="11">
        <f t="shared" si="81"/>
        <v>27059600.787218511</v>
      </c>
      <c r="T322" s="11">
        <f t="shared" si="81"/>
        <v>29765560.865940332</v>
      </c>
    </row>
    <row r="323" spans="1:20" x14ac:dyDescent="0.3">
      <c r="D323" s="25" t="s">
        <v>226</v>
      </c>
      <c r="E323" s="6">
        <f t="shared" si="74"/>
        <v>56</v>
      </c>
      <c r="I323" s="11">
        <f>IF(I3,I53,I321+I322)</f>
        <v>94228324.520002559</v>
      </c>
      <c r="J323" s="11">
        <f>IF(J3,J53,J321+J322)</f>
        <v>719700731.07000268</v>
      </c>
      <c r="K323" s="11">
        <f>IF(K3,K53,K321+K322)</f>
        <v>233299232.75999841</v>
      </c>
      <c r="L323" s="11">
        <f>IF(L3,L53,L321+L322)</f>
        <v>199035728.0300006</v>
      </c>
      <c r="M323" s="11">
        <f>IF(M3,M53,M321+M322)</f>
        <v>168018831.22252238</v>
      </c>
      <c r="N323" s="11">
        <f>IF(N3,N53,N321+N322)</f>
        <v>184820714.34477463</v>
      </c>
      <c r="O323" s="11">
        <f>IF(O3,O53,O321+O322)</f>
        <v>203302785.77925211</v>
      </c>
      <c r="P323" s="11">
        <f>IF(P3,P53,P321+P322)</f>
        <v>223633064.35717738</v>
      </c>
      <c r="Q323" s="11">
        <f>IF(Q3,Q53,Q321+Q322)</f>
        <v>245996370.79289511</v>
      </c>
      <c r="R323" s="11">
        <f>IF(R3,R53,R321+R322)</f>
        <v>270596007.87218463</v>
      </c>
      <c r="S323" s="11">
        <f>IF(S3,S53,S321+S322)</f>
        <v>297655608.65940315</v>
      </c>
      <c r="T323" s="11">
        <f>IF(T3,T53,T321+T322)</f>
        <v>327421169.52534348</v>
      </c>
    </row>
    <row r="324" spans="1:20" x14ac:dyDescent="0.3">
      <c r="E324" s="6">
        <f t="shared" si="74"/>
        <v>56</v>
      </c>
    </row>
    <row r="325" spans="1:20" x14ac:dyDescent="0.3">
      <c r="D325" s="25" t="s">
        <v>228</v>
      </c>
      <c r="E325" s="6">
        <f t="shared" si="74"/>
        <v>57</v>
      </c>
    </row>
    <row r="326" spans="1:20" x14ac:dyDescent="0.3">
      <c r="E326" s="6">
        <f t="shared" si="74"/>
        <v>57</v>
      </c>
    </row>
    <row r="327" spans="1:20" x14ac:dyDescent="0.3">
      <c r="D327" s="25" t="s">
        <v>229</v>
      </c>
      <c r="E327" s="6">
        <f t="shared" si="74"/>
        <v>58</v>
      </c>
    </row>
    <row r="328" spans="1:20" x14ac:dyDescent="0.3">
      <c r="D328" s="25" t="s">
        <v>230</v>
      </c>
      <c r="E328" s="6">
        <f t="shared" si="74"/>
        <v>59</v>
      </c>
    </row>
    <row r="330" spans="1:20" x14ac:dyDescent="0.3">
      <c r="A330" s="7" t="s">
        <v>234</v>
      </c>
    </row>
    <row r="331" spans="1:20" x14ac:dyDescent="0.3">
      <c r="C331" s="6" t="s">
        <v>241</v>
      </c>
      <c r="I331" s="31">
        <f>I204</f>
        <v>7.179876254038571E-2</v>
      </c>
      <c r="J331" s="31">
        <f>J204</f>
        <v>0.10032390726027698</v>
      </c>
      <c r="K331" s="31">
        <f>K204</f>
        <v>7.6653281349280164E-2</v>
      </c>
      <c r="L331" s="31">
        <f>L204</f>
        <v>7.5370154818923507E-2</v>
      </c>
      <c r="M331" s="31">
        <f>M204</f>
        <v>0.1</v>
      </c>
      <c r="N331" s="31">
        <f>N204</f>
        <v>0.1</v>
      </c>
      <c r="O331" s="31">
        <f>O204</f>
        <v>0.1</v>
      </c>
      <c r="P331" s="31">
        <f>P204</f>
        <v>0.1</v>
      </c>
      <c r="Q331" s="31">
        <f>Q204</f>
        <v>0.1</v>
      </c>
      <c r="R331" s="31">
        <f>R204</f>
        <v>0.1</v>
      </c>
      <c r="S331" s="31">
        <f>S204</f>
        <v>0.1</v>
      </c>
      <c r="T331" s="31">
        <f>T204</f>
        <v>0.1</v>
      </c>
    </row>
    <row r="333" spans="1:20" x14ac:dyDescent="0.3">
      <c r="B333" s="6" t="s">
        <v>123</v>
      </c>
      <c r="I333" s="33">
        <f>I238+I242</f>
        <v>3762933456.6739798</v>
      </c>
      <c r="J333" s="33">
        <f>J238+J242</f>
        <v>3880008542.0304799</v>
      </c>
      <c r="K333" s="33">
        <f>K238+K242</f>
        <v>5478541908.6269903</v>
      </c>
      <c r="L333" s="33">
        <f>L238+L242</f>
        <v>5100048300.1688099</v>
      </c>
      <c r="M333" s="33">
        <f>M238+M242</f>
        <v>5600627707.4174128</v>
      </c>
      <c r="N333" s="33">
        <f>N238+N242</f>
        <v>6160690478.1591549</v>
      </c>
      <c r="O333" s="33">
        <f>O238+O242</f>
        <v>6776759525.975071</v>
      </c>
      <c r="P333" s="33">
        <f>P238+P242</f>
        <v>7454435478.5725794</v>
      </c>
      <c r="Q333" s="33">
        <f>Q238+Q242</f>
        <v>8199879026.4298372</v>
      </c>
      <c r="R333" s="33">
        <f>R238+R242</f>
        <v>9019866929.0728207</v>
      </c>
      <c r="S333" s="33">
        <f>S238+S242</f>
        <v>9921853621.9801044</v>
      </c>
      <c r="T333" s="33">
        <f>T238+T242</f>
        <v>10914038984.178116</v>
      </c>
    </row>
    <row r="334" spans="1:20" x14ac:dyDescent="0.3">
      <c r="B334" s="6" t="s">
        <v>235</v>
      </c>
      <c r="I334" s="33">
        <f>I284</f>
        <v>2572603153.1239486</v>
      </c>
      <c r="J334" s="33">
        <f>J284</f>
        <v>3073937455.2291746</v>
      </c>
      <c r="K334" s="33">
        <f>K284</f>
        <v>3898589669.1349096</v>
      </c>
      <c r="L334" s="33">
        <f>L284</f>
        <v>4021732916.1051283</v>
      </c>
      <c r="M334" s="33">
        <f>M284</f>
        <v>4455268853.6936169</v>
      </c>
      <c r="N334" s="33">
        <f>N284</f>
        <v>4897677611.8512726</v>
      </c>
      <c r="O334" s="33">
        <f>O284</f>
        <v>5384717555.5540867</v>
      </c>
      <c r="P334" s="33">
        <f>P284</f>
        <v>5920802946.5670633</v>
      </c>
      <c r="Q334" s="33">
        <f>Q284</f>
        <v>6510795588.4514332</v>
      </c>
      <c r="R334" s="33">
        <f>R284</f>
        <v>7160048815.2251987</v>
      </c>
      <c r="S334" s="33">
        <f>S284</f>
        <v>7874455974.7131233</v>
      </c>
      <c r="T334" s="33">
        <f>T284</f>
        <v>8660503844.0604897</v>
      </c>
    </row>
    <row r="335" spans="1:20" ht="13.5" thickBot="1" x14ac:dyDescent="0.35">
      <c r="C335" s="14" t="s">
        <v>222</v>
      </c>
      <c r="D335" s="14"/>
      <c r="E335" s="14"/>
      <c r="F335" s="14"/>
      <c r="G335" s="14"/>
      <c r="H335" s="14"/>
      <c r="I335" s="56">
        <f>I333-I334</f>
        <v>1190330303.5500312</v>
      </c>
      <c r="J335" s="56">
        <f t="shared" ref="J335:T335" si="82">J333-J334</f>
        <v>806071086.80130529</v>
      </c>
      <c r="K335" s="56">
        <f t="shared" si="82"/>
        <v>1579952239.4920807</v>
      </c>
      <c r="L335" s="56">
        <f t="shared" si="82"/>
        <v>1078315384.0636816</v>
      </c>
      <c r="M335" s="56">
        <f t="shared" si="82"/>
        <v>1145358853.7237959</v>
      </c>
      <c r="N335" s="56">
        <f t="shared" si="82"/>
        <v>1263012866.3078823</v>
      </c>
      <c r="O335" s="56">
        <f t="shared" si="82"/>
        <v>1392041970.4209843</v>
      </c>
      <c r="P335" s="56">
        <f t="shared" si="82"/>
        <v>1533632532.0055161</v>
      </c>
      <c r="Q335" s="56">
        <f t="shared" si="82"/>
        <v>1689083437.978404</v>
      </c>
      <c r="R335" s="56">
        <f t="shared" si="82"/>
        <v>1859818113.8476219</v>
      </c>
      <c r="S335" s="56">
        <f t="shared" si="82"/>
        <v>2047397647.2669811</v>
      </c>
      <c r="T335" s="56">
        <f t="shared" si="82"/>
        <v>2253535140.1176262</v>
      </c>
    </row>
    <row r="336" spans="1:20" x14ac:dyDescent="0.3">
      <c r="B336" s="6" t="s">
        <v>225</v>
      </c>
      <c r="I336" s="33">
        <f>I308</f>
        <v>0</v>
      </c>
      <c r="J336" s="33">
        <f>J308</f>
        <v>25464384.059999999</v>
      </c>
      <c r="K336" s="33">
        <f>K308</f>
        <v>111089044.38</v>
      </c>
      <c r="L336" s="33">
        <f>L308</f>
        <v>129358336.3</v>
      </c>
      <c r="M336" s="33">
        <f>M308</f>
        <v>134234379.91005492</v>
      </c>
      <c r="N336" s="33">
        <f>N308</f>
        <v>140606907.32960227</v>
      </c>
      <c r="O336" s="33">
        <f>O308</f>
        <v>148499281.05136582</v>
      </c>
      <c r="P336" s="33">
        <f>P308</f>
        <v>157953007.57870397</v>
      </c>
      <c r="Q336" s="33">
        <f>Q308</f>
        <v>169027573.09949467</v>
      </c>
      <c r="R336" s="33">
        <f>R308</f>
        <v>181800510.41341314</v>
      </c>
      <c r="S336" s="33">
        <f>S308</f>
        <v>196367689.23399249</v>
      </c>
      <c r="T336" s="33">
        <f>T308</f>
        <v>212843825.07989722</v>
      </c>
    </row>
    <row r="337" spans="1:20" ht="13.5" thickBot="1" x14ac:dyDescent="0.35">
      <c r="C337" s="14" t="s">
        <v>236</v>
      </c>
      <c r="D337" s="14"/>
      <c r="E337" s="14"/>
      <c r="F337" s="14"/>
      <c r="G337" s="14"/>
      <c r="H337" s="14"/>
      <c r="I337" s="56">
        <f>I335-I336</f>
        <v>1190330303.5500312</v>
      </c>
      <c r="J337" s="56">
        <f t="shared" ref="J337:T337" si="83">J335-J336</f>
        <v>780606702.74130535</v>
      </c>
      <c r="K337" s="56">
        <f t="shared" si="83"/>
        <v>1468863195.1120806</v>
      </c>
      <c r="L337" s="56">
        <f t="shared" si="83"/>
        <v>948957047.76368165</v>
      </c>
      <c r="M337" s="56">
        <f t="shared" si="83"/>
        <v>1011124473.813741</v>
      </c>
      <c r="N337" s="56">
        <f t="shared" si="83"/>
        <v>1122405958.9782801</v>
      </c>
      <c r="O337" s="56">
        <f t="shared" si="83"/>
        <v>1243542689.3696184</v>
      </c>
      <c r="P337" s="56">
        <f t="shared" si="83"/>
        <v>1375679524.4268122</v>
      </c>
      <c r="Q337" s="56">
        <f t="shared" si="83"/>
        <v>1520055864.8789093</v>
      </c>
      <c r="R337" s="56">
        <f t="shared" si="83"/>
        <v>1678017603.4342089</v>
      </c>
      <c r="S337" s="56">
        <f t="shared" si="83"/>
        <v>1851029958.0329885</v>
      </c>
      <c r="T337" s="56">
        <f t="shared" si="83"/>
        <v>2040691315.037729</v>
      </c>
    </row>
    <row r="338" spans="1:20" x14ac:dyDescent="0.3">
      <c r="B338" s="25" t="s">
        <v>237</v>
      </c>
      <c r="I338" s="33">
        <f>I328</f>
        <v>0</v>
      </c>
      <c r="J338" s="33">
        <f t="shared" ref="J338:T338" si="84">J328</f>
        <v>0</v>
      </c>
      <c r="K338" s="33">
        <f t="shared" si="84"/>
        <v>0</v>
      </c>
      <c r="L338" s="33">
        <f t="shared" si="84"/>
        <v>0</v>
      </c>
      <c r="M338" s="33">
        <f t="shared" si="84"/>
        <v>0</v>
      </c>
      <c r="N338" s="33">
        <f t="shared" si="84"/>
        <v>0</v>
      </c>
      <c r="O338" s="33">
        <f t="shared" si="84"/>
        <v>0</v>
      </c>
      <c r="P338" s="33">
        <f t="shared" si="84"/>
        <v>0</v>
      </c>
      <c r="Q338" s="33">
        <f t="shared" si="84"/>
        <v>0</v>
      </c>
      <c r="R338" s="33">
        <f t="shared" si="84"/>
        <v>0</v>
      </c>
      <c r="S338" s="33">
        <f t="shared" si="84"/>
        <v>0</v>
      </c>
      <c r="T338" s="33">
        <f t="shared" si="84"/>
        <v>0</v>
      </c>
    </row>
    <row r="339" spans="1:20" x14ac:dyDescent="0.3">
      <c r="B339" s="25" t="s">
        <v>247</v>
      </c>
      <c r="I339" s="33">
        <f>I325</f>
        <v>0</v>
      </c>
      <c r="J339" s="33">
        <f t="shared" ref="J339:T339" si="85">J325</f>
        <v>0</v>
      </c>
      <c r="K339" s="33">
        <f t="shared" si="85"/>
        <v>0</v>
      </c>
      <c r="L339" s="33">
        <f t="shared" si="85"/>
        <v>0</v>
      </c>
      <c r="M339" s="33">
        <f t="shared" si="85"/>
        <v>0</v>
      </c>
      <c r="N339" s="33">
        <f t="shared" si="85"/>
        <v>0</v>
      </c>
      <c r="O339" s="33">
        <f t="shared" si="85"/>
        <v>0</v>
      </c>
      <c r="P339" s="33">
        <f t="shared" si="85"/>
        <v>0</v>
      </c>
      <c r="Q339" s="33">
        <f t="shared" si="85"/>
        <v>0</v>
      </c>
      <c r="R339" s="33">
        <f t="shared" si="85"/>
        <v>0</v>
      </c>
      <c r="S339" s="33">
        <f t="shared" si="85"/>
        <v>0</v>
      </c>
      <c r="T339" s="33">
        <f t="shared" si="85"/>
        <v>0</v>
      </c>
    </row>
    <row r="340" spans="1:20" x14ac:dyDescent="0.3">
      <c r="B340" s="25" t="s">
        <v>250</v>
      </c>
      <c r="I340" s="33">
        <f>I214</f>
        <v>6664637.0599999996</v>
      </c>
      <c r="J340" s="33">
        <f>J214</f>
        <v>-7346418.3399999999</v>
      </c>
      <c r="K340" s="33">
        <f>K214</f>
        <v>-22523321.229999997</v>
      </c>
      <c r="L340" s="33">
        <f>L214</f>
        <v>-108478965.97</v>
      </c>
      <c r="M340" s="33">
        <f>M214</f>
        <v>-33682943.189999998</v>
      </c>
      <c r="N340" s="33">
        <f>N214</f>
        <v>-33682943.189999998</v>
      </c>
      <c r="O340" s="33">
        <f>O214</f>
        <v>-33682943.189999998</v>
      </c>
      <c r="P340" s="33">
        <f>P214</f>
        <v>-33682943.189999998</v>
      </c>
      <c r="Q340" s="33">
        <f>Q214</f>
        <v>-33682943.189999998</v>
      </c>
      <c r="R340" s="33">
        <f>R214</f>
        <v>-33682943.189999998</v>
      </c>
      <c r="S340" s="33">
        <f>S214</f>
        <v>-33682943.189999998</v>
      </c>
      <c r="T340" s="33">
        <f>T214</f>
        <v>-33682943.189999998</v>
      </c>
    </row>
    <row r="341" spans="1:20" ht="13.5" thickBot="1" x14ac:dyDescent="0.35">
      <c r="C341" s="14" t="s">
        <v>238</v>
      </c>
      <c r="D341" s="14"/>
      <c r="E341" s="14"/>
      <c r="F341" s="14"/>
      <c r="G341" s="14"/>
      <c r="H341" s="14"/>
      <c r="I341" s="56">
        <f>I337-I338+I339+I340</f>
        <v>1196994940.6100311</v>
      </c>
      <c r="J341" s="56">
        <f t="shared" ref="J341:T341" si="86">J337-J338+J339+J340</f>
        <v>773260284.40130532</v>
      </c>
      <c r="K341" s="56">
        <f t="shared" si="86"/>
        <v>1446339873.8820806</v>
      </c>
      <c r="L341" s="56">
        <f t="shared" si="86"/>
        <v>840478081.79368162</v>
      </c>
      <c r="M341" s="56">
        <f t="shared" si="86"/>
        <v>977441530.62374091</v>
      </c>
      <c r="N341" s="56">
        <f t="shared" si="86"/>
        <v>1088723015.78828</v>
      </c>
      <c r="O341" s="56">
        <f t="shared" si="86"/>
        <v>1209859746.1796184</v>
      </c>
      <c r="P341" s="56">
        <f t="shared" si="86"/>
        <v>1341996581.2368121</v>
      </c>
      <c r="Q341" s="56">
        <f t="shared" si="86"/>
        <v>1486372921.6889093</v>
      </c>
      <c r="R341" s="56">
        <f t="shared" si="86"/>
        <v>1644334660.2442088</v>
      </c>
      <c r="S341" s="56">
        <f t="shared" si="86"/>
        <v>1817347014.8429885</v>
      </c>
      <c r="T341" s="56">
        <f t="shared" si="86"/>
        <v>2007008371.847729</v>
      </c>
    </row>
    <row r="342" spans="1:20" x14ac:dyDescent="0.3">
      <c r="B342" s="6" t="s">
        <v>239</v>
      </c>
      <c r="I342" s="33">
        <f>IF(I3,I203,I341*I331)</f>
        <v>85900300</v>
      </c>
      <c r="J342" s="33">
        <f>IF(J3,J203,J341*J331)</f>
        <v>77359000</v>
      </c>
      <c r="K342" s="33">
        <f>IF(K3,K203,K341*K331)</f>
        <v>108336134.38</v>
      </c>
      <c r="L342" s="33">
        <f>IF(L3,L203,L341*L331)</f>
        <v>62029953.939999998</v>
      </c>
      <c r="M342" s="33">
        <f>IF(M3,M203,M341*M331)</f>
        <v>97744153.0623741</v>
      </c>
      <c r="N342" s="33">
        <f>IF(N3,N203,N341*N331)</f>
        <v>108872301.57882801</v>
      </c>
      <c r="O342" s="33">
        <f>IF(O3,O203,O341*O331)</f>
        <v>120985974.61796184</v>
      </c>
      <c r="P342" s="33">
        <f>IF(P3,P203,P341*P331)</f>
        <v>134199658.12368122</v>
      </c>
      <c r="Q342" s="33">
        <f>IF(Q3,Q203,Q341*Q331)</f>
        <v>148637292.16889092</v>
      </c>
      <c r="R342" s="33">
        <f>IF(R3,R203,R341*R331)</f>
        <v>164433466.02442089</v>
      </c>
      <c r="S342" s="33">
        <f>IF(S3,S203,S341*S331)</f>
        <v>181734701.48429886</v>
      </c>
      <c r="T342" s="33">
        <f>IF(T3,T203,T341*T331)</f>
        <v>200700837.18477291</v>
      </c>
    </row>
    <row r="343" spans="1:20" x14ac:dyDescent="0.3">
      <c r="C343" s="6" t="s">
        <v>240</v>
      </c>
      <c r="I343" s="33">
        <f>I341-I342</f>
        <v>1111094640.6100311</v>
      </c>
      <c r="J343" s="33">
        <f t="shared" ref="J343:T343" si="87">J341-J342</f>
        <v>695901284.40130532</v>
      </c>
      <c r="K343" s="33">
        <f t="shared" si="87"/>
        <v>1338003739.5020804</v>
      </c>
      <c r="L343" s="33">
        <f t="shared" si="87"/>
        <v>778448127.85368156</v>
      </c>
      <c r="M343" s="33">
        <f t="shared" si="87"/>
        <v>879697377.5613668</v>
      </c>
      <c r="N343" s="33">
        <f t="shared" si="87"/>
        <v>979850714.20945203</v>
      </c>
      <c r="O343" s="33">
        <f t="shared" si="87"/>
        <v>1088873771.5616565</v>
      </c>
      <c r="P343" s="33">
        <f t="shared" si="87"/>
        <v>1207796923.1131308</v>
      </c>
      <c r="Q343" s="33">
        <f t="shared" si="87"/>
        <v>1337735629.5200183</v>
      </c>
      <c r="R343" s="33">
        <f t="shared" si="87"/>
        <v>1479901194.2197878</v>
      </c>
      <c r="S343" s="33">
        <f t="shared" si="87"/>
        <v>1635612313.3586895</v>
      </c>
      <c r="T343" s="33">
        <f t="shared" si="87"/>
        <v>1806307534.662956</v>
      </c>
    </row>
    <row r="344" spans="1:20" x14ac:dyDescent="0.3">
      <c r="I344" s="33"/>
      <c r="J344" s="33"/>
      <c r="K344" s="33"/>
      <c r="L344" s="33"/>
      <c r="M344" s="33"/>
      <c r="N344" s="33"/>
      <c r="O344" s="33"/>
      <c r="P344" s="33"/>
      <c r="Q344" s="33"/>
      <c r="R344" s="33"/>
      <c r="S344" s="33"/>
      <c r="T344" s="33"/>
    </row>
    <row r="345" spans="1:20" x14ac:dyDescent="0.3">
      <c r="A345" s="7" t="s">
        <v>242</v>
      </c>
      <c r="I345" s="33"/>
      <c r="J345" s="33"/>
      <c r="K345" s="33"/>
      <c r="L345" s="33"/>
      <c r="M345" s="33"/>
      <c r="N345" s="33"/>
      <c r="O345" s="33"/>
      <c r="P345" s="33"/>
      <c r="Q345" s="33"/>
      <c r="R345" s="33"/>
      <c r="S345" s="33"/>
      <c r="T345" s="33"/>
    </row>
    <row r="346" spans="1:20" x14ac:dyDescent="0.3">
      <c r="B346" s="6" t="s">
        <v>222</v>
      </c>
      <c r="I346" s="33">
        <f>I335</f>
        <v>1190330303.5500312</v>
      </c>
      <c r="J346" s="33">
        <f t="shared" ref="J346:T346" si="88">J335</f>
        <v>806071086.80130529</v>
      </c>
      <c r="K346" s="33">
        <f t="shared" si="88"/>
        <v>1579952239.4920807</v>
      </c>
      <c r="L346" s="33">
        <f t="shared" si="88"/>
        <v>1078315384.0636816</v>
      </c>
      <c r="M346" s="33">
        <f t="shared" si="88"/>
        <v>1145358853.7237959</v>
      </c>
      <c r="N346" s="33">
        <f t="shared" si="88"/>
        <v>1263012866.3078823</v>
      </c>
      <c r="O346" s="33">
        <f t="shared" si="88"/>
        <v>1392041970.4209843</v>
      </c>
      <c r="P346" s="33">
        <f t="shared" si="88"/>
        <v>1533632532.0055161</v>
      </c>
      <c r="Q346" s="33">
        <f t="shared" si="88"/>
        <v>1689083437.978404</v>
      </c>
      <c r="R346" s="33">
        <f t="shared" si="88"/>
        <v>1859818113.8476219</v>
      </c>
      <c r="S346" s="33">
        <f t="shared" si="88"/>
        <v>2047397647.2669811</v>
      </c>
      <c r="T346" s="33">
        <f t="shared" si="88"/>
        <v>2253535140.1176262</v>
      </c>
    </row>
    <row r="347" spans="1:20" x14ac:dyDescent="0.3">
      <c r="B347" s="6" t="s">
        <v>239</v>
      </c>
      <c r="I347" s="33">
        <f>I342</f>
        <v>85900300</v>
      </c>
      <c r="J347" s="33">
        <f t="shared" ref="J347:T347" si="89">J342</f>
        <v>77359000</v>
      </c>
      <c r="K347" s="33">
        <f t="shared" si="89"/>
        <v>108336134.38</v>
      </c>
      <c r="L347" s="33">
        <f t="shared" si="89"/>
        <v>62029953.939999998</v>
      </c>
      <c r="M347" s="33">
        <f t="shared" si="89"/>
        <v>97744153.0623741</v>
      </c>
      <c r="N347" s="33">
        <f t="shared" si="89"/>
        <v>108872301.57882801</v>
      </c>
      <c r="O347" s="33">
        <f t="shared" si="89"/>
        <v>120985974.61796184</v>
      </c>
      <c r="P347" s="33">
        <f t="shared" si="89"/>
        <v>134199658.12368122</v>
      </c>
      <c r="Q347" s="33">
        <f t="shared" si="89"/>
        <v>148637292.16889092</v>
      </c>
      <c r="R347" s="33">
        <f t="shared" si="89"/>
        <v>164433466.02442089</v>
      </c>
      <c r="S347" s="33">
        <f t="shared" si="89"/>
        <v>181734701.48429886</v>
      </c>
      <c r="T347" s="33">
        <f t="shared" si="89"/>
        <v>200700837.18477291</v>
      </c>
    </row>
    <row r="348" spans="1:20" x14ac:dyDescent="0.3">
      <c r="B348" s="6" t="s">
        <v>243</v>
      </c>
      <c r="I348" s="33">
        <f>I303</f>
        <v>0</v>
      </c>
      <c r="J348" s="33">
        <f>J303</f>
        <v>55666625.893015385</v>
      </c>
      <c r="K348" s="33">
        <f>K303</f>
        <v>410294098.15677595</v>
      </c>
      <c r="L348" s="33">
        <f>L303</f>
        <v>-937537856.40600538</v>
      </c>
      <c r="M348" s="33">
        <f>M303</f>
        <v>150890733.17996001</v>
      </c>
      <c r="N348" s="33">
        <f>N303</f>
        <v>165979806.49795604</v>
      </c>
      <c r="O348" s="33">
        <f>O303</f>
        <v>182577787.14775229</v>
      </c>
      <c r="P348" s="33">
        <f>P303</f>
        <v>200835565.86252642</v>
      </c>
      <c r="Q348" s="33">
        <f>Q303</f>
        <v>220919122.44878006</v>
      </c>
      <c r="R348" s="33">
        <f>R303</f>
        <v>243011034.6936574</v>
      </c>
      <c r="S348" s="33">
        <f>S303</f>
        <v>267312138.16302443</v>
      </c>
      <c r="T348" s="33">
        <f>T303</f>
        <v>294043351.97932625</v>
      </c>
    </row>
    <row r="349" spans="1:20" x14ac:dyDescent="0.3">
      <c r="B349" s="25" t="s">
        <v>244</v>
      </c>
      <c r="I349" s="33">
        <f>I311</f>
        <v>0</v>
      </c>
      <c r="J349" s="33">
        <f>J311</f>
        <v>219263835.04000002</v>
      </c>
      <c r="K349" s="33">
        <f>K311</f>
        <v>107875748.44720006</v>
      </c>
      <c r="L349" s="33">
        <f>L311</f>
        <v>168312333.91000003</v>
      </c>
      <c r="M349" s="33">
        <f>M311</f>
        <v>185143567.30100006</v>
      </c>
      <c r="N349" s="33">
        <f>N311</f>
        <v>203657924.03110006</v>
      </c>
      <c r="O349" s="33">
        <f>O311</f>
        <v>224023716.43421009</v>
      </c>
      <c r="P349" s="33">
        <f>P311</f>
        <v>246426088.07763115</v>
      </c>
      <c r="Q349" s="33">
        <f>Q311</f>
        <v>271068696.88539428</v>
      </c>
      <c r="R349" s="33">
        <f>R311</f>
        <v>298175566.57393372</v>
      </c>
      <c r="S349" s="33">
        <f>S311</f>
        <v>327993123.23132718</v>
      </c>
      <c r="T349" s="33">
        <f>T311</f>
        <v>360792435.55445987</v>
      </c>
    </row>
    <row r="350" spans="1:20" ht="13.5" thickBot="1" x14ac:dyDescent="0.35">
      <c r="C350" s="14" t="s">
        <v>245</v>
      </c>
      <c r="D350" s="14"/>
      <c r="E350" s="14"/>
      <c r="F350" s="14"/>
      <c r="G350" s="14"/>
      <c r="H350" s="14"/>
      <c r="I350" s="56">
        <f>I346-I347-I348-I349</f>
        <v>1104430003.5500312</v>
      </c>
      <c r="J350" s="56">
        <f t="shared" ref="J350:T350" si="90">J346-J347-J348-J349</f>
        <v>453781625.86828989</v>
      </c>
      <c r="K350" s="56">
        <f t="shared" si="90"/>
        <v>953446258.50810456</v>
      </c>
      <c r="L350" s="56">
        <f t="shared" si="90"/>
        <v>1785510952.6196868</v>
      </c>
      <c r="M350" s="56">
        <f t="shared" si="90"/>
        <v>711580400.18046165</v>
      </c>
      <c r="N350" s="56">
        <f t="shared" si="90"/>
        <v>784502834.19999814</v>
      </c>
      <c r="O350" s="56">
        <f t="shared" si="90"/>
        <v>864454492.22106004</v>
      </c>
      <c r="P350" s="56">
        <f t="shared" si="90"/>
        <v>952171219.94167721</v>
      </c>
      <c r="Q350" s="56">
        <f t="shared" si="90"/>
        <v>1048458326.4753387</v>
      </c>
      <c r="R350" s="56">
        <f t="shared" si="90"/>
        <v>1154198046.5556097</v>
      </c>
      <c r="S350" s="56">
        <f t="shared" si="90"/>
        <v>1270357684.3883305</v>
      </c>
      <c r="T350" s="56">
        <f t="shared" si="90"/>
        <v>1397998515.3990672</v>
      </c>
    </row>
    <row r="351" spans="1:20" x14ac:dyDescent="0.3">
      <c r="B351" s="25" t="s">
        <v>246</v>
      </c>
      <c r="I351" s="33">
        <f>I338</f>
        <v>0</v>
      </c>
      <c r="J351" s="33">
        <f t="shared" ref="J351:T351" si="91">J338</f>
        <v>0</v>
      </c>
      <c r="K351" s="33">
        <f t="shared" si="91"/>
        <v>0</v>
      </c>
      <c r="L351" s="33">
        <f t="shared" si="91"/>
        <v>0</v>
      </c>
      <c r="M351" s="33">
        <f t="shared" si="91"/>
        <v>0</v>
      </c>
      <c r="N351" s="33">
        <f t="shared" si="91"/>
        <v>0</v>
      </c>
      <c r="O351" s="33">
        <f t="shared" si="91"/>
        <v>0</v>
      </c>
      <c r="P351" s="33">
        <f t="shared" si="91"/>
        <v>0</v>
      </c>
      <c r="Q351" s="33">
        <f t="shared" si="91"/>
        <v>0</v>
      </c>
      <c r="R351" s="33">
        <f t="shared" si="91"/>
        <v>0</v>
      </c>
      <c r="S351" s="33">
        <f t="shared" si="91"/>
        <v>0</v>
      </c>
      <c r="T351" s="33">
        <f t="shared" si="91"/>
        <v>0</v>
      </c>
    </row>
    <row r="352" spans="1:20" x14ac:dyDescent="0.3">
      <c r="B352" s="25" t="s">
        <v>247</v>
      </c>
      <c r="I352" s="33">
        <f>I339</f>
        <v>0</v>
      </c>
      <c r="J352" s="33">
        <f t="shared" ref="J352:T352" si="92">J339</f>
        <v>0</v>
      </c>
      <c r="K352" s="33">
        <f t="shared" si="92"/>
        <v>0</v>
      </c>
      <c r="L352" s="33">
        <f t="shared" si="92"/>
        <v>0</v>
      </c>
      <c r="M352" s="33">
        <f t="shared" si="92"/>
        <v>0</v>
      </c>
      <c r="N352" s="33">
        <f t="shared" si="92"/>
        <v>0</v>
      </c>
      <c r="O352" s="33">
        <f t="shared" si="92"/>
        <v>0</v>
      </c>
      <c r="P352" s="33">
        <f t="shared" si="92"/>
        <v>0</v>
      </c>
      <c r="Q352" s="33">
        <f t="shared" si="92"/>
        <v>0</v>
      </c>
      <c r="R352" s="33">
        <f t="shared" si="92"/>
        <v>0</v>
      </c>
      <c r="S352" s="33">
        <f t="shared" si="92"/>
        <v>0</v>
      </c>
      <c r="T352" s="33">
        <f t="shared" si="92"/>
        <v>0</v>
      </c>
    </row>
    <row r="353" spans="1:20" x14ac:dyDescent="0.3">
      <c r="B353" s="25" t="s">
        <v>267</v>
      </c>
      <c r="I353" s="33">
        <f>I340</f>
        <v>6664637.0599999996</v>
      </c>
      <c r="J353" s="33">
        <f t="shared" ref="J353:T353" si="93">J340</f>
        <v>-7346418.3399999999</v>
      </c>
      <c r="K353" s="33">
        <f t="shared" si="93"/>
        <v>-22523321.229999997</v>
      </c>
      <c r="L353" s="33">
        <f t="shared" si="93"/>
        <v>-108478965.97</v>
      </c>
      <c r="M353" s="33">
        <f t="shared" si="93"/>
        <v>-33682943.189999998</v>
      </c>
      <c r="N353" s="33">
        <f t="shared" si="93"/>
        <v>-33682943.189999998</v>
      </c>
      <c r="O353" s="33">
        <f t="shared" si="93"/>
        <v>-33682943.189999998</v>
      </c>
      <c r="P353" s="33">
        <f t="shared" si="93"/>
        <v>-33682943.189999998</v>
      </c>
      <c r="Q353" s="33">
        <f t="shared" si="93"/>
        <v>-33682943.189999998</v>
      </c>
      <c r="R353" s="33">
        <f t="shared" si="93"/>
        <v>-33682943.189999998</v>
      </c>
      <c r="S353" s="33">
        <f t="shared" si="93"/>
        <v>-33682943.189999998</v>
      </c>
      <c r="T353" s="33">
        <f t="shared" si="93"/>
        <v>-33682943.189999998</v>
      </c>
    </row>
    <row r="354" spans="1:20" ht="13.5" thickBot="1" x14ac:dyDescent="0.35">
      <c r="C354" s="14" t="s">
        <v>248</v>
      </c>
      <c r="D354" s="14"/>
      <c r="E354" s="14"/>
      <c r="F354" s="14"/>
      <c r="G354" s="14"/>
      <c r="H354" s="14"/>
      <c r="I354" s="56">
        <f>I350-I351+I352+I353</f>
        <v>1111094640.6100311</v>
      </c>
      <c r="J354" s="56">
        <f t="shared" ref="J354:T354" si="94">J350-J351+J352+J353</f>
        <v>446435207.52828991</v>
      </c>
      <c r="K354" s="56">
        <f t="shared" si="94"/>
        <v>930922937.27810454</v>
      </c>
      <c r="L354" s="56">
        <f t="shared" si="94"/>
        <v>1677031986.6496868</v>
      </c>
      <c r="M354" s="56">
        <f t="shared" si="94"/>
        <v>677897456.99046159</v>
      </c>
      <c r="N354" s="56">
        <f t="shared" si="94"/>
        <v>750819891.00999808</v>
      </c>
      <c r="O354" s="56">
        <f t="shared" si="94"/>
        <v>830771549.03105998</v>
      </c>
      <c r="P354" s="56">
        <f t="shared" si="94"/>
        <v>918488276.75167727</v>
      </c>
      <c r="Q354" s="56">
        <f t="shared" si="94"/>
        <v>1014775383.2853386</v>
      </c>
      <c r="R354" s="56">
        <f t="shared" si="94"/>
        <v>1120515103.3656096</v>
      </c>
      <c r="S354" s="56">
        <f t="shared" si="94"/>
        <v>1236674741.1983304</v>
      </c>
      <c r="T354" s="56">
        <f t="shared" si="94"/>
        <v>1364315572.2090671</v>
      </c>
    </row>
    <row r="355" spans="1:20" x14ac:dyDescent="0.3">
      <c r="B355" s="6" t="s">
        <v>252</v>
      </c>
      <c r="C355" s="6" t="s">
        <v>266</v>
      </c>
      <c r="I355" s="33">
        <f>I319</f>
        <v>94228324.520002559</v>
      </c>
      <c r="J355" s="33">
        <f>J319</f>
        <v>625472406.55000007</v>
      </c>
      <c r="K355" s="33">
        <f>K319</f>
        <v>-486401498.31000423</v>
      </c>
      <c r="L355" s="33">
        <f>L319</f>
        <v>-34263504.729997814</v>
      </c>
      <c r="M355" s="33">
        <f>M319</f>
        <v>-31016896.807478219</v>
      </c>
      <c r="N355" s="33">
        <f>N319</f>
        <v>16801883.122252256</v>
      </c>
      <c r="O355" s="33">
        <f>O319</f>
        <v>18482071.434477478</v>
      </c>
      <c r="P355" s="33">
        <f>P319</f>
        <v>20330278.577925265</v>
      </c>
      <c r="Q355" s="33">
        <f>Q319</f>
        <v>22363306.435717732</v>
      </c>
      <c r="R355" s="33">
        <f>R319</f>
        <v>24599637.079289526</v>
      </c>
      <c r="S355" s="33">
        <f>S319</f>
        <v>27059600.787218511</v>
      </c>
      <c r="T355" s="33">
        <f>T319</f>
        <v>29765560.865940332</v>
      </c>
    </row>
    <row r="356" spans="1:20" x14ac:dyDescent="0.3">
      <c r="B356" s="6" t="s">
        <v>249</v>
      </c>
      <c r="I356" s="33">
        <f>I354-I355</f>
        <v>1016866316.0900285</v>
      </c>
      <c r="J356" s="33">
        <f>J354-J355</f>
        <v>-179037199.02171016</v>
      </c>
      <c r="K356" s="33">
        <f t="shared" ref="K356:T356" si="95">K354-K355</f>
        <v>1417324435.5881088</v>
      </c>
      <c r="L356" s="33">
        <f t="shared" si="95"/>
        <v>1711295491.3796847</v>
      </c>
      <c r="M356" s="33">
        <f t="shared" si="95"/>
        <v>708914353.79793978</v>
      </c>
      <c r="N356" s="33">
        <f t="shared" si="95"/>
        <v>734018007.88774586</v>
      </c>
      <c r="O356" s="33">
        <f t="shared" si="95"/>
        <v>812289477.59658253</v>
      </c>
      <c r="P356" s="33">
        <f t="shared" si="95"/>
        <v>898157998.17375207</v>
      </c>
      <c r="Q356" s="33">
        <f t="shared" si="95"/>
        <v>992412076.84962094</v>
      </c>
      <c r="R356" s="33">
        <f t="shared" si="95"/>
        <v>1095915466.2863202</v>
      </c>
      <c r="S356" s="33">
        <f t="shared" si="95"/>
        <v>1209615140.4111118</v>
      </c>
      <c r="T356" s="33">
        <f t="shared" si="95"/>
        <v>1334550011.3431268</v>
      </c>
    </row>
    <row r="357" spans="1:20" ht="13.5" thickBot="1" x14ac:dyDescent="0.35">
      <c r="C357" s="14" t="s">
        <v>233</v>
      </c>
      <c r="D357" s="14"/>
      <c r="E357" s="14"/>
      <c r="F357" s="14"/>
      <c r="G357" s="14"/>
      <c r="H357" s="14"/>
      <c r="I357" s="56">
        <f>I356</f>
        <v>1016866316.0900285</v>
      </c>
      <c r="J357" s="56">
        <f t="shared" ref="J357:T357" si="96">J356</f>
        <v>-179037199.02171016</v>
      </c>
      <c r="K357" s="56">
        <f t="shared" si="96"/>
        <v>1417324435.5881088</v>
      </c>
      <c r="L357" s="56">
        <f t="shared" si="96"/>
        <v>1711295491.3796847</v>
      </c>
      <c r="M357" s="56">
        <f t="shared" si="96"/>
        <v>708914353.79793978</v>
      </c>
      <c r="N357" s="56">
        <f t="shared" si="96"/>
        <v>734018007.88774586</v>
      </c>
      <c r="O357" s="56">
        <f t="shared" si="96"/>
        <v>812289477.59658253</v>
      </c>
      <c r="P357" s="56">
        <f t="shared" si="96"/>
        <v>898157998.17375207</v>
      </c>
      <c r="Q357" s="56">
        <f t="shared" si="96"/>
        <v>992412076.84962094</v>
      </c>
      <c r="R357" s="56">
        <f t="shared" si="96"/>
        <v>1095915466.2863202</v>
      </c>
      <c r="S357" s="56">
        <f t="shared" si="96"/>
        <v>1209615140.4111118</v>
      </c>
      <c r="T357" s="56">
        <f t="shared" si="96"/>
        <v>1334550011.3431268</v>
      </c>
    </row>
    <row r="358" spans="1:20" x14ac:dyDescent="0.3">
      <c r="I358" s="33"/>
      <c r="J358" s="33"/>
      <c r="K358" s="33"/>
      <c r="L358" s="33"/>
      <c r="M358" s="33"/>
      <c r="N358" s="33"/>
      <c r="O358" s="33"/>
      <c r="P358" s="33"/>
      <c r="Q358" s="33"/>
      <c r="R358" s="33"/>
      <c r="S358" s="33"/>
      <c r="T358" s="33"/>
    </row>
    <row r="359" spans="1:20" x14ac:dyDescent="0.3">
      <c r="A359" s="7" t="s">
        <v>256</v>
      </c>
    </row>
    <row r="360" spans="1:20" x14ac:dyDescent="0.3">
      <c r="B360" s="6" t="s">
        <v>261</v>
      </c>
    </row>
    <row r="361" spans="1:20" x14ac:dyDescent="0.3">
      <c r="C361" s="6" t="s">
        <v>223</v>
      </c>
      <c r="I361" s="33">
        <f>H364</f>
        <v>0</v>
      </c>
      <c r="J361" s="33">
        <f t="shared" ref="J361:T361" si="97">I364</f>
        <v>3190722756.3275285</v>
      </c>
      <c r="K361" s="33">
        <f t="shared" si="97"/>
        <v>3795144614.8088336</v>
      </c>
      <c r="L361" s="33">
        <f t="shared" si="97"/>
        <v>3997527563.6220922</v>
      </c>
      <c r="M361" s="33">
        <f t="shared" si="97"/>
        <v>3012145735.6649117</v>
      </c>
      <c r="N361" s="33">
        <f t="shared" si="97"/>
        <v>3182928759.4283385</v>
      </c>
      <c r="O361" s="33">
        <f t="shared" si="97"/>
        <v>3428761465.7500448</v>
      </c>
      <c r="P361" s="33">
        <f t="shared" si="97"/>
        <v>3705345759.7151184</v>
      </c>
      <c r="Q361" s="33">
        <f t="shared" si="97"/>
        <v>4014984684.6544971</v>
      </c>
      <c r="R361" s="33">
        <f t="shared" si="97"/>
        <v>4360308237.3248949</v>
      </c>
      <c r="S361" s="33">
        <f t="shared" si="97"/>
        <v>4744293965.2583618</v>
      </c>
      <c r="T361" s="33">
        <f t="shared" si="97"/>
        <v>5170291138.2059393</v>
      </c>
    </row>
    <row r="362" spans="1:20" x14ac:dyDescent="0.3">
      <c r="C362" s="6" t="s">
        <v>262</v>
      </c>
      <c r="I362" s="33">
        <f>I343</f>
        <v>1111094640.6100311</v>
      </c>
      <c r="J362" s="33">
        <f t="shared" ref="J362:T362" si="98">J343</f>
        <v>695901284.40130532</v>
      </c>
      <c r="K362" s="33">
        <f t="shared" si="98"/>
        <v>1338003739.5020804</v>
      </c>
      <c r="L362" s="33">
        <f t="shared" si="98"/>
        <v>778448127.85368156</v>
      </c>
      <c r="M362" s="33">
        <f t="shared" si="98"/>
        <v>879697377.5613668</v>
      </c>
      <c r="N362" s="33">
        <f t="shared" si="98"/>
        <v>979850714.20945203</v>
      </c>
      <c r="O362" s="33">
        <f t="shared" si="98"/>
        <v>1088873771.5616565</v>
      </c>
      <c r="P362" s="33">
        <f t="shared" si="98"/>
        <v>1207796923.1131308</v>
      </c>
      <c r="Q362" s="33">
        <f t="shared" si="98"/>
        <v>1337735629.5200183</v>
      </c>
      <c r="R362" s="33">
        <f t="shared" si="98"/>
        <v>1479901194.2197878</v>
      </c>
      <c r="S362" s="33">
        <f t="shared" si="98"/>
        <v>1635612313.3586895</v>
      </c>
      <c r="T362" s="33">
        <f t="shared" si="98"/>
        <v>1806307534.662956</v>
      </c>
    </row>
    <row r="363" spans="1:20" x14ac:dyDescent="0.3">
      <c r="C363" s="6" t="s">
        <v>263</v>
      </c>
      <c r="I363" s="33">
        <f>I357</f>
        <v>1016866316.0900285</v>
      </c>
      <c r="J363" s="33">
        <f t="shared" ref="J363:T363" si="99">J357</f>
        <v>-179037199.02171016</v>
      </c>
      <c r="K363" s="33">
        <f t="shared" si="99"/>
        <v>1417324435.5881088</v>
      </c>
      <c r="L363" s="33">
        <f t="shared" si="99"/>
        <v>1711295491.3796847</v>
      </c>
      <c r="M363" s="33">
        <f t="shared" si="99"/>
        <v>708914353.79793978</v>
      </c>
      <c r="N363" s="33">
        <f t="shared" si="99"/>
        <v>734018007.88774586</v>
      </c>
      <c r="O363" s="33">
        <f t="shared" si="99"/>
        <v>812289477.59658253</v>
      </c>
      <c r="P363" s="33">
        <f t="shared" si="99"/>
        <v>898157998.17375207</v>
      </c>
      <c r="Q363" s="33">
        <f t="shared" si="99"/>
        <v>992412076.84962094</v>
      </c>
      <c r="R363" s="33">
        <f t="shared" si="99"/>
        <v>1095915466.2863202</v>
      </c>
      <c r="S363" s="33">
        <f t="shared" si="99"/>
        <v>1209615140.4111118</v>
      </c>
      <c r="T363" s="33">
        <f t="shared" si="99"/>
        <v>1334550011.3431268</v>
      </c>
    </row>
    <row r="364" spans="1:20" x14ac:dyDescent="0.3">
      <c r="C364" s="25" t="s">
        <v>226</v>
      </c>
      <c r="I364" s="33">
        <f>IF(I3,I133,I361+I362-I363)</f>
        <v>3190722756.3275285</v>
      </c>
      <c r="J364" s="33">
        <f>IF(J3,J133,J361+J362-J363)</f>
        <v>3795144614.8088336</v>
      </c>
      <c r="K364" s="33">
        <f>IF(K3,K133,K361+K362-K363)</f>
        <v>3997527563.6220922</v>
      </c>
      <c r="L364" s="33">
        <f>IF(L3,L133,L361+L362-L363)</f>
        <v>3012145735.6649117</v>
      </c>
      <c r="M364" s="33">
        <f>IF(M3,M133,M361+M362-M363)</f>
        <v>3182928759.4283385</v>
      </c>
      <c r="N364" s="33">
        <f>IF(N3,N133,N361+N362-N363)</f>
        <v>3428761465.7500448</v>
      </c>
      <c r="O364" s="33">
        <f>IF(O3,O133,O361+O362-O363)</f>
        <v>3705345759.7151184</v>
      </c>
      <c r="P364" s="33">
        <f>IF(P3,P133,P361+P362-P363)</f>
        <v>4014984684.6544971</v>
      </c>
      <c r="Q364" s="33">
        <f>IF(Q3,Q133,Q361+Q362-Q363)</f>
        <v>4360308237.3248949</v>
      </c>
      <c r="R364" s="33">
        <f>IF(R3,R133,R361+R362-R363)</f>
        <v>4744293965.2583618</v>
      </c>
      <c r="S364" s="33">
        <f>IF(S3,S133,S361+S362-S363)</f>
        <v>5170291138.2059393</v>
      </c>
      <c r="T364" s="33">
        <f>IF(T3,T133,T361+T362-T363)</f>
        <v>5642048661.5257683</v>
      </c>
    </row>
    <row r="365" spans="1:20" x14ac:dyDescent="0.3">
      <c r="I365" s="33"/>
      <c r="J365" s="33"/>
      <c r="K365" s="33"/>
      <c r="L365" s="33"/>
      <c r="M365" s="33"/>
      <c r="N365" s="33"/>
      <c r="O365" s="33"/>
      <c r="P365" s="33"/>
      <c r="Q365" s="33"/>
      <c r="R365" s="33"/>
      <c r="S365" s="33"/>
      <c r="T365" s="33"/>
    </row>
    <row r="366" spans="1:20" x14ac:dyDescent="0.3">
      <c r="B366" s="6" t="s">
        <v>43</v>
      </c>
      <c r="I366" s="33"/>
      <c r="J366" s="33"/>
      <c r="K366" s="33"/>
      <c r="L366" s="33"/>
      <c r="M366" s="33"/>
      <c r="N366" s="33"/>
      <c r="O366" s="33"/>
      <c r="P366" s="33"/>
      <c r="Q366" s="33"/>
      <c r="R366" s="33"/>
      <c r="S366" s="33"/>
      <c r="T366" s="33"/>
    </row>
    <row r="367" spans="1:20" x14ac:dyDescent="0.3">
      <c r="C367" s="6" t="s">
        <v>227</v>
      </c>
      <c r="I367" s="33">
        <f>I323</f>
        <v>94228324.520002559</v>
      </c>
      <c r="J367" s="33">
        <f>J323</f>
        <v>719700731.07000268</v>
      </c>
      <c r="K367" s="33">
        <f>K323</f>
        <v>233299232.75999841</v>
      </c>
      <c r="L367" s="33">
        <f>L323</f>
        <v>199035728.0300006</v>
      </c>
      <c r="M367" s="33">
        <f>M323</f>
        <v>168018831.22252238</v>
      </c>
      <c r="N367" s="33">
        <f>N323</f>
        <v>184820714.34477463</v>
      </c>
      <c r="O367" s="33">
        <f>O323</f>
        <v>203302785.77925211</v>
      </c>
      <c r="P367" s="33">
        <f>P323</f>
        <v>223633064.35717738</v>
      </c>
      <c r="Q367" s="33">
        <f>Q323</f>
        <v>245996370.79289511</v>
      </c>
      <c r="R367" s="33">
        <f>R323</f>
        <v>270596007.87218463</v>
      </c>
      <c r="S367" s="33">
        <f>S323</f>
        <v>297655608.65940315</v>
      </c>
      <c r="T367" s="33">
        <f>T323</f>
        <v>327421169.52534348</v>
      </c>
    </row>
    <row r="368" spans="1:20" x14ac:dyDescent="0.3">
      <c r="C368" s="6" t="s">
        <v>59</v>
      </c>
      <c r="I368" s="33">
        <f>I294</f>
        <v>1245139764.7676899</v>
      </c>
      <c r="J368" s="33">
        <f>J294</f>
        <v>2036003278.9981699</v>
      </c>
      <c r="K368" s="33">
        <f>K294</f>
        <v>1472013088.9761636</v>
      </c>
      <c r="L368" s="33">
        <f>L294</f>
        <v>614928927.08496583</v>
      </c>
      <c r="M368" s="33">
        <f>M294</f>
        <v>676421819.7934624</v>
      </c>
      <c r="N368" s="33">
        <f>N294</f>
        <v>744064001.77280879</v>
      </c>
      <c r="O368" s="33">
        <f>O294</f>
        <v>818470401.95008969</v>
      </c>
      <c r="P368" s="33">
        <f>P294</f>
        <v>900317442.14509881</v>
      </c>
      <c r="Q368" s="33">
        <f>Q294</f>
        <v>990349186.35960865</v>
      </c>
      <c r="R368" s="33">
        <f>R294</f>
        <v>1089384104.9955695</v>
      </c>
      <c r="S368" s="33">
        <f>S294</f>
        <v>1198322515.4951267</v>
      </c>
      <c r="T368" s="33">
        <f>T294</f>
        <v>1318154767.0446396</v>
      </c>
    </row>
    <row r="369" spans="2:20" x14ac:dyDescent="0.3">
      <c r="C369" s="6" t="s">
        <v>167</v>
      </c>
      <c r="I369" s="33">
        <f>I297</f>
        <v>1092132238.2381248</v>
      </c>
      <c r="J369" s="33">
        <f>J297</f>
        <v>1614585981.0089502</v>
      </c>
      <c r="K369" s="33">
        <f>K297</f>
        <v>1501776768.6604426</v>
      </c>
      <c r="L369" s="33">
        <f>L297</f>
        <v>1615311080.3556349</v>
      </c>
      <c r="M369" s="33">
        <f>M297</f>
        <v>1776842188.3911984</v>
      </c>
      <c r="N369" s="33">
        <f>N297</f>
        <v>1954526407.2303183</v>
      </c>
      <c r="O369" s="33">
        <f>O297</f>
        <v>2149979047.9533505</v>
      </c>
      <c r="P369" s="33">
        <f>P297</f>
        <v>2364976952.7486854</v>
      </c>
      <c r="Q369" s="33">
        <f>Q297</f>
        <v>2601474648.0235538</v>
      </c>
      <c r="R369" s="33">
        <f>R297</f>
        <v>2861622112.8259091</v>
      </c>
      <c r="S369" s="33">
        <f>S297</f>
        <v>3147784324.108501</v>
      </c>
      <c r="T369" s="33">
        <f>T297</f>
        <v>3462562756.5193515</v>
      </c>
    </row>
    <row r="370" spans="2:20" x14ac:dyDescent="0.3">
      <c r="C370" s="6" t="s">
        <v>257</v>
      </c>
      <c r="I370" s="33">
        <f>I313</f>
        <v>842838630.71000016</v>
      </c>
      <c r="J370" s="33">
        <f>J313</f>
        <v>1036638081.6900002</v>
      </c>
      <c r="K370" s="33">
        <f>K313</f>
        <v>1033424785.7572002</v>
      </c>
      <c r="L370" s="33">
        <f>L313</f>
        <v>1072378783.3672003</v>
      </c>
      <c r="M370" s="33">
        <f>M313</f>
        <v>1123287970.7581453</v>
      </c>
      <c r="N370" s="33">
        <f>N313</f>
        <v>1186338987.4596431</v>
      </c>
      <c r="O370" s="33">
        <f>O313</f>
        <v>1261863422.8424873</v>
      </c>
      <c r="P370" s="33">
        <f>P313</f>
        <v>1350336503.3414147</v>
      </c>
      <c r="Q370" s="33">
        <f>Q313</f>
        <v>1452377627.1273143</v>
      </c>
      <c r="R370" s="33">
        <f>R313</f>
        <v>1568752683.2878351</v>
      </c>
      <c r="S370" s="33">
        <f>S313</f>
        <v>1700378117.2851696</v>
      </c>
      <c r="T370" s="33">
        <f>T313</f>
        <v>1848326727.7597322</v>
      </c>
    </row>
    <row r="371" spans="2:20" x14ac:dyDescent="0.3">
      <c r="C371" s="25" t="s">
        <v>258</v>
      </c>
      <c r="I371" s="33">
        <f>IF(I3,I92+I70,H371)</f>
        <v>273171336.94171047</v>
      </c>
      <c r="J371" s="33">
        <f>IF(J3,J92+J70,I371)</f>
        <v>2654712</v>
      </c>
      <c r="K371" s="33">
        <f>IF(K3,K92+K70,J371)</f>
        <v>284358356.89928722</v>
      </c>
      <c r="L371" s="33">
        <f>IF(L3,L92+L70,K371)</f>
        <v>231823892.46811008</v>
      </c>
      <c r="M371" s="33">
        <f>IF(M3,M92+M70,L371)</f>
        <v>231823892.46811008</v>
      </c>
      <c r="N371" s="33">
        <f>IF(N3,N92+N70,M371)</f>
        <v>231823892.46811008</v>
      </c>
      <c r="O371" s="33">
        <f>IF(O3,O92+O70,N371)</f>
        <v>231823892.46811008</v>
      </c>
      <c r="P371" s="33">
        <f>IF(P3,P92+P70,O371)</f>
        <v>231823892.46811008</v>
      </c>
      <c r="Q371" s="33">
        <f>IF(Q3,Q92+Q70,P371)</f>
        <v>231823892.46811008</v>
      </c>
      <c r="R371" s="33">
        <f>IF(R3,R92+R70,Q371)</f>
        <v>231823892.46811008</v>
      </c>
      <c r="S371" s="33">
        <f>IF(S3,S92+S70,R371)</f>
        <v>231823892.46811008</v>
      </c>
      <c r="T371" s="33">
        <f>IF(T3,T92+T70,S371)</f>
        <v>231823892.46811008</v>
      </c>
    </row>
    <row r="372" spans="2:20" ht="13.5" thickBot="1" x14ac:dyDescent="0.35">
      <c r="D372" s="48" t="s">
        <v>199</v>
      </c>
      <c r="E372" s="48"/>
      <c r="F372" s="48"/>
      <c r="G372" s="48"/>
      <c r="H372" s="48"/>
      <c r="I372" s="57">
        <f>SUM(I367:I371)</f>
        <v>3547510295.1775279</v>
      </c>
      <c r="J372" s="57">
        <f t="shared" ref="J372:T372" si="100">SUM(J367:J371)</f>
        <v>5409582784.7671232</v>
      </c>
      <c r="K372" s="57">
        <f t="shared" si="100"/>
        <v>4524872233.053092</v>
      </c>
      <c r="L372" s="57">
        <f t="shared" si="100"/>
        <v>3733478411.3059115</v>
      </c>
      <c r="M372" s="57">
        <f t="shared" si="100"/>
        <v>3976394702.6334386</v>
      </c>
      <c r="N372" s="57">
        <f t="shared" si="100"/>
        <v>4301574003.2756548</v>
      </c>
      <c r="O372" s="57">
        <f t="shared" si="100"/>
        <v>4665439550.9932899</v>
      </c>
      <c r="P372" s="57">
        <f t="shared" si="100"/>
        <v>5071087855.0604858</v>
      </c>
      <c r="Q372" s="57">
        <f t="shared" si="100"/>
        <v>5522021724.7714825</v>
      </c>
      <c r="R372" s="57">
        <f t="shared" si="100"/>
        <v>6022178801.4496088</v>
      </c>
      <c r="S372" s="57">
        <f t="shared" si="100"/>
        <v>6575964458.0163107</v>
      </c>
      <c r="T372" s="57">
        <f t="shared" si="100"/>
        <v>7188289313.3171768</v>
      </c>
    </row>
    <row r="373" spans="2:20" ht="13.5" thickTop="1" x14ac:dyDescent="0.3">
      <c r="D373" s="6" t="s">
        <v>265</v>
      </c>
      <c r="G373" s="6" t="b">
        <f>SUMIF(3:3,TRUE,373:373)=0</f>
        <v>1</v>
      </c>
      <c r="I373" s="11">
        <f>I372-I96</f>
        <v>0</v>
      </c>
      <c r="J373" s="11">
        <f>J372-J96</f>
        <v>0</v>
      </c>
      <c r="K373" s="11">
        <f>K372-K96</f>
        <v>0</v>
      </c>
      <c r="L373" s="11">
        <f>L372-L96</f>
        <v>0</v>
      </c>
      <c r="M373" s="11">
        <f>M372-M96</f>
        <v>3976394702.6334386</v>
      </c>
      <c r="N373" s="11">
        <f>N372-N96</f>
        <v>4301574003.2756548</v>
      </c>
      <c r="O373" s="11">
        <f>O372-O96</f>
        <v>4665439550.9932899</v>
      </c>
      <c r="P373" s="11">
        <f>P372-P96</f>
        <v>5071087855.0604858</v>
      </c>
      <c r="Q373" s="11">
        <f>Q372-Q96</f>
        <v>5522021724.7714825</v>
      </c>
      <c r="R373" s="11">
        <f>R372-R96</f>
        <v>6022178801.4496088</v>
      </c>
      <c r="S373" s="11">
        <f>S372-S96</f>
        <v>6575964458.0163107</v>
      </c>
      <c r="T373" s="11">
        <f>T372-T96</f>
        <v>7188289313.3171768</v>
      </c>
    </row>
    <row r="374" spans="2:20" x14ac:dyDescent="0.3">
      <c r="D374" s="6" t="s">
        <v>264</v>
      </c>
      <c r="I374" s="11" t="b">
        <f>I372=I96</f>
        <v>1</v>
      </c>
      <c r="J374" s="11" t="b">
        <f>J372=J96</f>
        <v>1</v>
      </c>
      <c r="K374" s="11" t="b">
        <f>K372=K96</f>
        <v>1</v>
      </c>
      <c r="L374" s="11" t="b">
        <f>L372=L96</f>
        <v>1</v>
      </c>
      <c r="M374" s="11" t="b">
        <f>M372=M96</f>
        <v>0</v>
      </c>
      <c r="N374" s="11" t="b">
        <f>N372=N96</f>
        <v>0</v>
      </c>
      <c r="O374" s="11" t="b">
        <f>O372=O96</f>
        <v>0</v>
      </c>
      <c r="P374" s="11" t="b">
        <f>P372=P96</f>
        <v>0</v>
      </c>
      <c r="Q374" s="11" t="b">
        <f>Q372=Q96</f>
        <v>0</v>
      </c>
      <c r="R374" s="11" t="b">
        <f>R372=R96</f>
        <v>0</v>
      </c>
      <c r="S374" s="11" t="b">
        <f>S372=S96</f>
        <v>0</v>
      </c>
      <c r="T374" s="11" t="b">
        <f>T372=T96</f>
        <v>0</v>
      </c>
    </row>
    <row r="376" spans="2:20" x14ac:dyDescent="0.3">
      <c r="B376" s="6" t="s">
        <v>103</v>
      </c>
    </row>
    <row r="377" spans="2:20" x14ac:dyDescent="0.3">
      <c r="C377" s="6" t="s">
        <v>85</v>
      </c>
      <c r="I377" s="33">
        <f>I300</f>
        <v>356787538.84999955</v>
      </c>
      <c r="J377" s="33">
        <f>J300</f>
        <v>1614438169.9582896</v>
      </c>
      <c r="K377" s="33">
        <f>K300</f>
        <v>527344669.43099964</v>
      </c>
      <c r="L377" s="33">
        <f>L300</f>
        <v>721332675.64099979</v>
      </c>
      <c r="M377" s="33">
        <f>M300</f>
        <v>793465943.20509982</v>
      </c>
      <c r="N377" s="33">
        <f>N300</f>
        <v>872812537.52560985</v>
      </c>
      <c r="O377" s="33">
        <f>O300</f>
        <v>960093791.27817094</v>
      </c>
      <c r="P377" s="33">
        <f>P300</f>
        <v>1056103170.405988</v>
      </c>
      <c r="Q377" s="33">
        <f>Q300</f>
        <v>1161713487.4465868</v>
      </c>
      <c r="R377" s="33">
        <f>R300</f>
        <v>1277884836.1912456</v>
      </c>
      <c r="S377" s="33">
        <f>S300</f>
        <v>1405673319.8103704</v>
      </c>
      <c r="T377" s="33">
        <f>T300</f>
        <v>1546240651.7914076</v>
      </c>
    </row>
    <row r="378" spans="2:20" x14ac:dyDescent="0.3">
      <c r="C378" s="6" t="s">
        <v>259</v>
      </c>
      <c r="I378" s="33">
        <f>I327</f>
        <v>0</v>
      </c>
      <c r="J378" s="33">
        <f t="shared" ref="J378:T378" si="101">J327</f>
        <v>0</v>
      </c>
      <c r="K378" s="33">
        <f t="shared" si="101"/>
        <v>0</v>
      </c>
      <c r="L378" s="33">
        <f t="shared" si="101"/>
        <v>0</v>
      </c>
      <c r="M378" s="33">
        <f t="shared" si="101"/>
        <v>0</v>
      </c>
      <c r="N378" s="33">
        <f t="shared" si="101"/>
        <v>0</v>
      </c>
      <c r="O378" s="33">
        <f t="shared" si="101"/>
        <v>0</v>
      </c>
      <c r="P378" s="33">
        <f t="shared" si="101"/>
        <v>0</v>
      </c>
      <c r="Q378" s="33">
        <f t="shared" si="101"/>
        <v>0</v>
      </c>
      <c r="R378" s="33">
        <f t="shared" si="101"/>
        <v>0</v>
      </c>
      <c r="S378" s="33">
        <f t="shared" si="101"/>
        <v>0</v>
      </c>
      <c r="T378" s="33">
        <f t="shared" si="101"/>
        <v>0</v>
      </c>
    </row>
    <row r="379" spans="2:20" x14ac:dyDescent="0.3">
      <c r="C379" s="6" t="s">
        <v>260</v>
      </c>
      <c r="I379" s="33"/>
      <c r="J379" s="33"/>
      <c r="K379" s="33">
        <f>K117</f>
        <v>0</v>
      </c>
      <c r="L379" s="33">
        <f>L117</f>
        <v>0</v>
      </c>
      <c r="M379" s="33">
        <f>M117</f>
        <v>0</v>
      </c>
      <c r="N379" s="33">
        <f>N117</f>
        <v>0</v>
      </c>
      <c r="O379" s="33">
        <f>O117</f>
        <v>0</v>
      </c>
      <c r="P379" s="33">
        <f>P117</f>
        <v>0</v>
      </c>
      <c r="Q379" s="33">
        <f>Q117</f>
        <v>0</v>
      </c>
      <c r="R379" s="33">
        <f>R117</f>
        <v>0</v>
      </c>
      <c r="S379" s="33">
        <f>S117</f>
        <v>0</v>
      </c>
      <c r="T379" s="33">
        <f>T117</f>
        <v>0</v>
      </c>
    </row>
    <row r="380" spans="2:20" x14ac:dyDescent="0.3">
      <c r="C380" s="25" t="s">
        <v>107</v>
      </c>
      <c r="I380" s="33">
        <f>I364</f>
        <v>3190722756.3275285</v>
      </c>
      <c r="J380" s="33">
        <f t="shared" ref="J380:T380" si="102">J364</f>
        <v>3795144614.8088336</v>
      </c>
      <c r="K380" s="33">
        <f t="shared" si="102"/>
        <v>3997527563.6220922</v>
      </c>
      <c r="L380" s="33">
        <f t="shared" si="102"/>
        <v>3012145735.6649117</v>
      </c>
      <c r="M380" s="33">
        <f t="shared" si="102"/>
        <v>3182928759.4283385</v>
      </c>
      <c r="N380" s="33">
        <f t="shared" si="102"/>
        <v>3428761465.7500448</v>
      </c>
      <c r="O380" s="33">
        <f t="shared" si="102"/>
        <v>3705345759.7151184</v>
      </c>
      <c r="P380" s="33">
        <f t="shared" si="102"/>
        <v>4014984684.6544971</v>
      </c>
      <c r="Q380" s="33">
        <f t="shared" si="102"/>
        <v>4360308237.3248949</v>
      </c>
      <c r="R380" s="33">
        <f t="shared" si="102"/>
        <v>4744293965.2583618</v>
      </c>
      <c r="S380" s="33">
        <f t="shared" si="102"/>
        <v>5170291138.2059393</v>
      </c>
      <c r="T380" s="33">
        <f t="shared" si="102"/>
        <v>5642048661.5257683</v>
      </c>
    </row>
    <row r="381" spans="2:20" ht="13.5" thickBot="1" x14ac:dyDescent="0.35">
      <c r="C381" s="25"/>
      <c r="D381" s="48" t="s">
        <v>199</v>
      </c>
      <c r="E381" s="48"/>
      <c r="F381" s="48"/>
      <c r="G381" s="48"/>
      <c r="H381" s="48"/>
      <c r="I381" s="57">
        <f>SUM(I377:I380)</f>
        <v>3547510295.1775279</v>
      </c>
      <c r="J381" s="57">
        <f t="shared" ref="J381:T381" si="103">SUM(J377:J380)</f>
        <v>5409582784.7671232</v>
      </c>
      <c r="K381" s="57">
        <f t="shared" si="103"/>
        <v>4524872233.053092</v>
      </c>
      <c r="L381" s="57">
        <f t="shared" si="103"/>
        <v>3733478411.3059115</v>
      </c>
      <c r="M381" s="57">
        <f t="shared" si="103"/>
        <v>3976394702.6334381</v>
      </c>
      <c r="N381" s="57">
        <f t="shared" si="103"/>
        <v>4301574003.2756548</v>
      </c>
      <c r="O381" s="57">
        <f t="shared" si="103"/>
        <v>4665439550.993289</v>
      </c>
      <c r="P381" s="57">
        <f t="shared" si="103"/>
        <v>5071087855.0604849</v>
      </c>
      <c r="Q381" s="57">
        <f t="shared" si="103"/>
        <v>5522021724.7714815</v>
      </c>
      <c r="R381" s="57">
        <f t="shared" si="103"/>
        <v>6022178801.4496078</v>
      </c>
      <c r="S381" s="57">
        <f t="shared" si="103"/>
        <v>6575964458.0163097</v>
      </c>
      <c r="T381" s="57">
        <f t="shared" si="103"/>
        <v>7188289313.3171759</v>
      </c>
    </row>
    <row r="382" spans="2:20" ht="13.5" thickTop="1" x14ac:dyDescent="0.3">
      <c r="C382" s="25"/>
      <c r="I382" s="33"/>
      <c r="J382" s="33"/>
      <c r="K382" s="33"/>
      <c r="L382" s="33"/>
      <c r="M382" s="33"/>
      <c r="N382" s="33"/>
      <c r="O382" s="33"/>
      <c r="P382" s="33"/>
      <c r="Q382" s="33"/>
      <c r="R382" s="33"/>
      <c r="S382" s="33"/>
      <c r="T382" s="33"/>
    </row>
    <row r="383" spans="2:20" x14ac:dyDescent="0.3">
      <c r="C383" s="25"/>
      <c r="D383" s="6" t="s">
        <v>102</v>
      </c>
      <c r="I383" s="33">
        <f>I381-I372</f>
        <v>0</v>
      </c>
      <c r="J383" s="33">
        <f t="shared" ref="J383:T383" si="104">J381-J372</f>
        <v>0</v>
      </c>
      <c r="K383" s="33">
        <f t="shared" si="104"/>
        <v>0</v>
      </c>
      <c r="L383" s="33">
        <f t="shared" si="104"/>
        <v>0</v>
      </c>
      <c r="M383" s="33">
        <f t="shared" si="104"/>
        <v>0</v>
      </c>
      <c r="N383" s="33">
        <f t="shared" si="104"/>
        <v>0</v>
      </c>
      <c r="O383" s="33">
        <f t="shared" si="104"/>
        <v>0</v>
      </c>
      <c r="P383" s="33">
        <f t="shared" si="104"/>
        <v>0</v>
      </c>
      <c r="Q383" s="33">
        <f t="shared" si="104"/>
        <v>0</v>
      </c>
      <c r="R383" s="33">
        <f t="shared" si="104"/>
        <v>0</v>
      </c>
      <c r="S383" s="33">
        <f t="shared" si="104"/>
        <v>0</v>
      </c>
      <c r="T383" s="33">
        <f t="shared" si="104"/>
        <v>0</v>
      </c>
    </row>
    <row r="384" spans="2:20" x14ac:dyDescent="0.3">
      <c r="C384" s="25"/>
      <c r="D384" s="6" t="s">
        <v>270</v>
      </c>
      <c r="G384" s="6" t="b">
        <f>AND(I384:T384)</f>
        <v>1</v>
      </c>
      <c r="I384" s="33" t="b">
        <f>I383=0</f>
        <v>1</v>
      </c>
      <c r="J384" s="33" t="b">
        <f t="shared" ref="J384:T384" si="105">J383=0</f>
        <v>1</v>
      </c>
      <c r="K384" s="33" t="b">
        <f t="shared" si="105"/>
        <v>1</v>
      </c>
      <c r="L384" s="33" t="b">
        <f t="shared" si="105"/>
        <v>1</v>
      </c>
      <c r="M384" s="33" t="b">
        <f t="shared" si="105"/>
        <v>1</v>
      </c>
      <c r="N384" s="33" t="b">
        <f t="shared" si="105"/>
        <v>1</v>
      </c>
      <c r="O384" s="33" t="b">
        <f t="shared" si="105"/>
        <v>1</v>
      </c>
      <c r="P384" s="33" t="b">
        <f t="shared" si="105"/>
        <v>1</v>
      </c>
      <c r="Q384" s="33" t="b">
        <f t="shared" si="105"/>
        <v>1</v>
      </c>
      <c r="R384" s="33" t="b">
        <f t="shared" si="105"/>
        <v>1</v>
      </c>
      <c r="S384" s="33" t="b">
        <f t="shared" si="105"/>
        <v>1</v>
      </c>
      <c r="T384" s="33" t="b">
        <f t="shared" si="105"/>
        <v>1</v>
      </c>
    </row>
    <row r="385" spans="1:20" x14ac:dyDescent="0.3">
      <c r="C385" s="25"/>
    </row>
    <row r="386" spans="1:20" x14ac:dyDescent="0.3">
      <c r="A386" s="7" t="s">
        <v>253</v>
      </c>
      <c r="I386" s="6">
        <f>I2</f>
        <v>2011</v>
      </c>
      <c r="J386" s="6">
        <f t="shared" ref="J386:T386" si="106">J2</f>
        <v>2012</v>
      </c>
      <c r="K386" s="6">
        <f t="shared" si="106"/>
        <v>2013</v>
      </c>
      <c r="L386" s="6">
        <f t="shared" si="106"/>
        <v>2014</v>
      </c>
      <c r="M386" s="6">
        <f t="shared" si="106"/>
        <v>2015</v>
      </c>
      <c r="N386" s="6">
        <f t="shared" si="106"/>
        <v>2016</v>
      </c>
      <c r="O386" s="6">
        <f t="shared" si="106"/>
        <v>2017</v>
      </c>
      <c r="P386" s="6">
        <f t="shared" si="106"/>
        <v>2018</v>
      </c>
      <c r="Q386" s="6">
        <f t="shared" si="106"/>
        <v>2019</v>
      </c>
      <c r="R386" s="6">
        <f t="shared" si="106"/>
        <v>2020</v>
      </c>
      <c r="S386" s="6">
        <f t="shared" si="106"/>
        <v>2021</v>
      </c>
      <c r="T386" s="6">
        <f t="shared" si="106"/>
        <v>2022</v>
      </c>
    </row>
    <row r="387" spans="1:20" x14ac:dyDescent="0.3">
      <c r="B387" s="6" t="s">
        <v>254</v>
      </c>
      <c r="I387" s="29">
        <f>I343/AVERAGE(H380:I380)</f>
        <v>0.34822663247899466</v>
      </c>
      <c r="J387" s="29">
        <f t="shared" ref="J387:T387" si="107">J343/AVERAGE(I380:J380)</f>
        <v>0.19923117558073708</v>
      </c>
      <c r="K387" s="29">
        <f t="shared" si="107"/>
        <v>0.34340049443000975</v>
      </c>
      <c r="L387" s="29">
        <f t="shared" si="107"/>
        <v>0.22210682142143834</v>
      </c>
      <c r="M387" s="29">
        <f t="shared" si="107"/>
        <v>0.28399896668171554</v>
      </c>
      <c r="N387" s="29">
        <f t="shared" si="107"/>
        <v>0.29639946241825499</v>
      </c>
      <c r="O387" s="29">
        <f t="shared" si="107"/>
        <v>0.3052585942849097</v>
      </c>
      <c r="P387" s="29">
        <f t="shared" si="107"/>
        <v>0.31288736455418664</v>
      </c>
      <c r="Q387" s="29">
        <f t="shared" si="107"/>
        <v>0.31944808187171125</v>
      </c>
      <c r="R387" s="29">
        <f t="shared" si="107"/>
        <v>0.32508860053213401</v>
      </c>
      <c r="S387" s="29">
        <f t="shared" si="107"/>
        <v>0.32994064729691663</v>
      </c>
      <c r="T387" s="29">
        <f t="shared" si="107"/>
        <v>0.33411963887923257</v>
      </c>
    </row>
    <row r="388" spans="1:20" x14ac:dyDescent="0.3">
      <c r="B388" s="6" t="s">
        <v>255</v>
      </c>
      <c r="I388" s="29">
        <f>I337*(1-I331)/AVERAGE(I380-I367,H380-H367)</f>
        <v>0.71362379947563503</v>
      </c>
      <c r="J388" s="29">
        <f t="shared" ref="J388:T388" si="108">J337*(1-J331)/AVERAGE(J380-J367,I380-I367)</f>
        <v>0.2275762175133039</v>
      </c>
      <c r="K388" s="29">
        <f t="shared" si="108"/>
        <v>0.39658918404255311</v>
      </c>
      <c r="L388" s="29">
        <f t="shared" si="108"/>
        <v>0.26680519170547268</v>
      </c>
      <c r="M388" s="29">
        <f t="shared" si="108"/>
        <v>0.31228857706407009</v>
      </c>
      <c r="N388" s="29">
        <f t="shared" si="108"/>
        <v>0.32279580222969051</v>
      </c>
      <c r="O388" s="29">
        <f t="shared" si="108"/>
        <v>0.33180881128676615</v>
      </c>
      <c r="P388" s="29">
        <f t="shared" si="108"/>
        <v>0.33951586082099366</v>
      </c>
      <c r="Q388" s="29">
        <f t="shared" si="108"/>
        <v>0.3460937290513727</v>
      </c>
      <c r="R388" s="29">
        <f t="shared" si="108"/>
        <v>0.35170333384685631</v>
      </c>
      <c r="S388" s="29">
        <f t="shared" si="108"/>
        <v>0.3564878065947153</v>
      </c>
      <c r="T388" s="29">
        <f t="shared" si="108"/>
        <v>0.36057225177151858</v>
      </c>
    </row>
  </sheetData>
  <conditionalFormatting sqref="I3:T1048576">
    <cfRule type="expression" dxfId="0" priority="1">
      <formula>I$3</formula>
    </cfRule>
  </conditionalFormatting>
  <pageMargins left="0.7" right="0.13" top="0.75" bottom="0.75" header="0.3" footer="0.3"/>
  <pageSetup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promptTitle="Assumption Method" prompt="1. Average of Historic Data_x000a_2. Priod Historic Value_x000a_3. Direct Input to Left">
          <x14:formula1>
            <xm:f>#REF!</xm:f>
          </x14:formula1>
          <xm:sqref>E141 E144 E148 E152 E156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1">
    <tabColor rgb="FFFF0000"/>
  </sheetPr>
  <dimension ref="A2:L83"/>
  <sheetViews>
    <sheetView tabSelected="1" zoomScale="80" zoomScaleNormal="80" workbookViewId="0">
      <pane xSplit="4" ySplit="3" topLeftCell="E25" activePane="bottomRight" state="frozen"/>
      <selection pane="topRight" activeCell="E1" sqref="E1"/>
      <selection pane="bottomLeft" activeCell="A4" sqref="A4"/>
      <selection pane="bottomRight" activeCell="G51" sqref="G51"/>
    </sheetView>
  </sheetViews>
  <sheetFormatPr defaultRowHeight="13" x14ac:dyDescent="0.3"/>
  <cols>
    <col min="1" max="1" width="1.08984375" style="4" customWidth="1"/>
    <col min="2" max="3" width="1.08984375" style="1" customWidth="1"/>
    <col min="4" max="4" width="21.7265625" style="1" customWidth="1"/>
    <col min="5" max="5" width="14" style="1" customWidth="1"/>
    <col min="6" max="9" width="14.26953125" style="1" customWidth="1"/>
    <col min="10" max="13" width="14.36328125" style="1" customWidth="1"/>
    <col min="14" max="16384" width="8.7265625" style="1"/>
  </cols>
  <sheetData>
    <row r="2" spans="1:5" x14ac:dyDescent="0.3">
      <c r="A2" s="4" t="s">
        <v>278</v>
      </c>
    </row>
    <row r="3" spans="1:5" x14ac:dyDescent="0.3">
      <c r="C3" s="1" t="s">
        <v>279</v>
      </c>
      <c r="E3" s="63">
        <v>2014</v>
      </c>
    </row>
    <row r="4" spans="1:5" x14ac:dyDescent="0.3">
      <c r="C4" s="1" t="s">
        <v>281</v>
      </c>
      <c r="E4" s="1">
        <f>MATCH(E3,'Financial Model'!2:2)</f>
        <v>12</v>
      </c>
    </row>
    <row r="6" spans="1:5" x14ac:dyDescent="0.3">
      <c r="C6" s="1" t="s">
        <v>280</v>
      </c>
      <c r="E6" s="63">
        <v>6</v>
      </c>
    </row>
    <row r="7" spans="1:5" x14ac:dyDescent="0.3">
      <c r="C7" s="1" t="s">
        <v>222</v>
      </c>
      <c r="E7" s="60">
        <f>INDEX('Financial Model'!346:346,'Structuring Assumptions'!E4)</f>
        <v>1078315384.0636816</v>
      </c>
    </row>
    <row r="8" spans="1:5" x14ac:dyDescent="0.3">
      <c r="C8" s="1" t="s">
        <v>282</v>
      </c>
      <c r="E8" s="60">
        <f>E7*E6</f>
        <v>6469892304.3820896</v>
      </c>
    </row>
    <row r="10" spans="1:5" x14ac:dyDescent="0.3">
      <c r="C10" s="1" t="s">
        <v>283</v>
      </c>
    </row>
    <row r="11" spans="1:5" x14ac:dyDescent="0.3">
      <c r="C11" s="1" t="s">
        <v>284</v>
      </c>
    </row>
    <row r="13" spans="1:5" x14ac:dyDescent="0.3">
      <c r="C13" s="1" t="s">
        <v>285</v>
      </c>
      <c r="E13" s="61">
        <f>INDEX('Financial Model'!367:367,'Structuring Assumptions'!E4)</f>
        <v>199035728.0300006</v>
      </c>
    </row>
    <row r="14" spans="1:5" x14ac:dyDescent="0.3">
      <c r="C14" s="1" t="s">
        <v>286</v>
      </c>
      <c r="E14" s="60">
        <f>E8+E13</f>
        <v>6668928032.4120903</v>
      </c>
    </row>
    <row r="16" spans="1:5" x14ac:dyDescent="0.3">
      <c r="C16" s="1" t="s">
        <v>240</v>
      </c>
      <c r="E16" s="60">
        <f>INDEX('Financial Model'!343:343,'Structuring Assumptions'!E4)</f>
        <v>778448127.85368156</v>
      </c>
    </row>
    <row r="17" spans="1:8" x14ac:dyDescent="0.3">
      <c r="C17" s="1" t="s">
        <v>287</v>
      </c>
      <c r="E17" s="5">
        <f>E14/E16</f>
        <v>8.5669523681680602</v>
      </c>
    </row>
    <row r="19" spans="1:8" x14ac:dyDescent="0.3">
      <c r="C19" s="1" t="s">
        <v>295</v>
      </c>
      <c r="E19" s="63">
        <v>6</v>
      </c>
    </row>
    <row r="20" spans="1:8" x14ac:dyDescent="0.3">
      <c r="C20" s="1" t="s">
        <v>296</v>
      </c>
      <c r="E20" s="63">
        <v>5</v>
      </c>
    </row>
    <row r="21" spans="1:8" x14ac:dyDescent="0.3">
      <c r="E21" s="63"/>
    </row>
    <row r="22" spans="1:8" x14ac:dyDescent="0.3">
      <c r="C22" s="1" t="s">
        <v>303</v>
      </c>
      <c r="E22" s="65">
        <v>1.4999999999999999E-2</v>
      </c>
    </row>
    <row r="24" spans="1:8" x14ac:dyDescent="0.3">
      <c r="A24" s="4" t="s">
        <v>175</v>
      </c>
    </row>
    <row r="25" spans="1:8" x14ac:dyDescent="0.3">
      <c r="C25" s="1" t="s">
        <v>288</v>
      </c>
      <c r="E25" s="62">
        <f>5/6</f>
        <v>0.83333333333333337</v>
      </c>
    </row>
    <row r="26" spans="1:8" x14ac:dyDescent="0.3">
      <c r="C26" s="1" t="s">
        <v>289</v>
      </c>
      <c r="E26" s="60">
        <f>E25*E14</f>
        <v>5557440027.0100756</v>
      </c>
    </row>
    <row r="27" spans="1:8" x14ac:dyDescent="0.3">
      <c r="C27" s="1" t="s">
        <v>320</v>
      </c>
      <c r="E27" s="5">
        <f>E26/E7</f>
        <v>5.1538168787563849</v>
      </c>
    </row>
    <row r="29" spans="1:8" x14ac:dyDescent="0.3">
      <c r="C29" s="1" t="s">
        <v>290</v>
      </c>
      <c r="E29" s="64">
        <v>0.15</v>
      </c>
    </row>
    <row r="30" spans="1:8" x14ac:dyDescent="0.3">
      <c r="E30" s="62"/>
    </row>
    <row r="31" spans="1:8" x14ac:dyDescent="0.3">
      <c r="C31" s="1" t="s">
        <v>291</v>
      </c>
      <c r="F31" s="2"/>
      <c r="G31" s="2"/>
    </row>
    <row r="32" spans="1:8" x14ac:dyDescent="0.3">
      <c r="D32" s="2" t="s">
        <v>292</v>
      </c>
      <c r="E32" s="63">
        <v>1</v>
      </c>
      <c r="F32" s="63">
        <v>2</v>
      </c>
      <c r="G32" s="63">
        <v>3</v>
      </c>
      <c r="H32" s="63">
        <v>4</v>
      </c>
    </row>
    <row r="33" spans="1:8" x14ac:dyDescent="0.3">
      <c r="D33" s="2" t="s">
        <v>293</v>
      </c>
      <c r="E33" s="64">
        <v>0.2</v>
      </c>
      <c r="F33" s="64">
        <v>0.5</v>
      </c>
      <c r="G33" s="64">
        <v>0.7</v>
      </c>
      <c r="H33" s="64">
        <v>1</v>
      </c>
    </row>
    <row r="34" spans="1:8" x14ac:dyDescent="0.3">
      <c r="F34" s="63"/>
      <c r="G34" s="64"/>
    </row>
    <row r="35" spans="1:8" x14ac:dyDescent="0.3">
      <c r="C35" s="1" t="s">
        <v>294</v>
      </c>
      <c r="E35" s="64">
        <v>0.02</v>
      </c>
    </row>
    <row r="36" spans="1:8" x14ac:dyDescent="0.3">
      <c r="C36" s="1" t="s">
        <v>340</v>
      </c>
      <c r="E36" s="62">
        <v>7.0000000000000007E-2</v>
      </c>
    </row>
    <row r="38" spans="1:8" x14ac:dyDescent="0.3">
      <c r="A38" s="4" t="s">
        <v>297</v>
      </c>
    </row>
    <row r="39" spans="1:8" x14ac:dyDescent="0.3">
      <c r="B39" s="1" t="s">
        <v>298</v>
      </c>
    </row>
    <row r="40" spans="1:8" x14ac:dyDescent="0.3">
      <c r="C40" s="1" t="s">
        <v>301</v>
      </c>
      <c r="E40" s="60">
        <f>E14</f>
        <v>6668928032.4120903</v>
      </c>
    </row>
    <row r="41" spans="1:8" x14ac:dyDescent="0.3">
      <c r="C41" s="1" t="s">
        <v>318</v>
      </c>
      <c r="E41" s="60">
        <f>E22*E14</f>
        <v>100033920.48618135</v>
      </c>
    </row>
    <row r="42" spans="1:8" x14ac:dyDescent="0.3">
      <c r="C42" s="1" t="s">
        <v>319</v>
      </c>
      <c r="E42" s="60">
        <f>E35*E26</f>
        <v>111148800.54020151</v>
      </c>
    </row>
    <row r="43" spans="1:8" ht="13.5" thickBot="1" x14ac:dyDescent="0.35">
      <c r="D43" s="48" t="s">
        <v>199</v>
      </c>
      <c r="E43" s="57">
        <f>SUM(E40:E42)</f>
        <v>6880110753.4384727</v>
      </c>
    </row>
    <row r="44" spans="1:8" ht="13.5" thickTop="1" x14ac:dyDescent="0.3"/>
    <row r="45" spans="1:8" x14ac:dyDescent="0.3">
      <c r="B45" s="1" t="s">
        <v>299</v>
      </c>
    </row>
    <row r="46" spans="1:8" x14ac:dyDescent="0.3">
      <c r="C46" s="1" t="s">
        <v>259</v>
      </c>
      <c r="E46" s="60">
        <f>E26</f>
        <v>5557440027.0100756</v>
      </c>
    </row>
    <row r="47" spans="1:8" x14ac:dyDescent="0.3">
      <c r="C47" s="1" t="s">
        <v>107</v>
      </c>
      <c r="E47" s="60">
        <f>E43-E46</f>
        <v>1322670726.4283972</v>
      </c>
    </row>
    <row r="48" spans="1:8" ht="13.5" thickBot="1" x14ac:dyDescent="0.35">
      <c r="D48" s="48" t="s">
        <v>199</v>
      </c>
      <c r="E48" s="57">
        <f>SUM(E46:E47)</f>
        <v>6880110753.4384727</v>
      </c>
    </row>
    <row r="49" spans="1:11" ht="13.5" thickTop="1" x14ac:dyDescent="0.3"/>
    <row r="50" spans="1:11" x14ac:dyDescent="0.3">
      <c r="A50" s="4" t="s">
        <v>300</v>
      </c>
    </row>
    <row r="51" spans="1:11" x14ac:dyDescent="0.3">
      <c r="C51" s="1" t="s">
        <v>301</v>
      </c>
      <c r="E51" s="60">
        <f>E40</f>
        <v>6668928032.4120903</v>
      </c>
    </row>
    <row r="52" spans="1:11" x14ac:dyDescent="0.3">
      <c r="C52" s="1" t="s">
        <v>302</v>
      </c>
      <c r="E52" s="60">
        <f>E80</f>
        <v>3012145735.6649117</v>
      </c>
    </row>
    <row r="53" spans="1:11" ht="13.5" thickBot="1" x14ac:dyDescent="0.35">
      <c r="C53" s="48" t="s">
        <v>75</v>
      </c>
      <c r="D53" s="48"/>
      <c r="E53" s="57">
        <f>E51-E52</f>
        <v>3656782296.7471786</v>
      </c>
    </row>
    <row r="54" spans="1:11" ht="13.5" thickTop="1" x14ac:dyDescent="0.3"/>
    <row r="55" spans="1:11" x14ac:dyDescent="0.3">
      <c r="A55" s="4" t="s">
        <v>304</v>
      </c>
    </row>
    <row r="56" spans="1:11" x14ac:dyDescent="0.3">
      <c r="D56" s="1" t="s">
        <v>310</v>
      </c>
      <c r="E56" s="1">
        <v>3</v>
      </c>
      <c r="F56" s="1">
        <f>E3+1</f>
        <v>2015</v>
      </c>
      <c r="G56" s="1">
        <f>F56+1</f>
        <v>2016</v>
      </c>
      <c r="H56" s="1">
        <f t="shared" ref="H56:K56" si="0">G56+1</f>
        <v>2017</v>
      </c>
      <c r="I56" s="1">
        <f t="shared" si="0"/>
        <v>2018</v>
      </c>
      <c r="J56" s="1">
        <f t="shared" si="0"/>
        <v>2019</v>
      </c>
      <c r="K56" s="1">
        <f t="shared" si="0"/>
        <v>2020</v>
      </c>
    </row>
    <row r="57" spans="1:11" x14ac:dyDescent="0.3">
      <c r="D57" s="1" t="s">
        <v>305</v>
      </c>
    </row>
    <row r="58" spans="1:11" x14ac:dyDescent="0.3">
      <c r="D58" s="1" t="s">
        <v>306</v>
      </c>
      <c r="F58" s="62">
        <v>-0.1</v>
      </c>
      <c r="G58" s="62">
        <v>0</v>
      </c>
      <c r="H58" s="62">
        <v>0.05</v>
      </c>
      <c r="I58" s="62">
        <v>0.12</v>
      </c>
      <c r="J58" s="62">
        <v>0.15</v>
      </c>
      <c r="K58" s="62">
        <v>0.15</v>
      </c>
    </row>
    <row r="59" spans="1:11" x14ac:dyDescent="0.3">
      <c r="D59" s="1" t="s">
        <v>307</v>
      </c>
      <c r="F59" s="62">
        <v>-0.05</v>
      </c>
      <c r="G59" s="62">
        <v>0</v>
      </c>
      <c r="H59" s="62">
        <v>0.1</v>
      </c>
      <c r="I59" s="62">
        <v>0.2</v>
      </c>
      <c r="J59" s="62">
        <v>0.2</v>
      </c>
      <c r="K59" s="62">
        <v>0.2</v>
      </c>
    </row>
    <row r="60" spans="1:11" x14ac:dyDescent="0.3">
      <c r="D60" s="1" t="s">
        <v>308</v>
      </c>
      <c r="F60" s="62">
        <v>-0.12</v>
      </c>
      <c r="G60" s="62">
        <v>-0.05</v>
      </c>
      <c r="H60" s="62">
        <v>-0.02</v>
      </c>
      <c r="I60" s="62">
        <v>-0.02</v>
      </c>
      <c r="J60" s="62">
        <v>0.04</v>
      </c>
      <c r="K60" s="62">
        <v>0.04</v>
      </c>
    </row>
    <row r="61" spans="1:11" x14ac:dyDescent="0.3">
      <c r="D61" s="1" t="s">
        <v>309</v>
      </c>
      <c r="F61" s="62">
        <v>0</v>
      </c>
      <c r="G61" s="62">
        <v>0</v>
      </c>
      <c r="H61" s="62">
        <v>0</v>
      </c>
      <c r="I61" s="62">
        <v>0</v>
      </c>
      <c r="J61" s="62">
        <v>0</v>
      </c>
      <c r="K61" s="62">
        <v>0</v>
      </c>
    </row>
    <row r="62" spans="1:11" ht="13.5" thickBot="1" x14ac:dyDescent="0.35"/>
    <row r="63" spans="1:11" ht="13.5" thickBot="1" x14ac:dyDescent="0.35">
      <c r="D63" s="66" t="str">
        <f>INDEX(D58:D61,$E$56)</f>
        <v>Low Case</v>
      </c>
      <c r="E63" s="67"/>
      <c r="F63" s="68">
        <f t="shared" ref="E63:K63" si="1">INDEX(F58:F61,$E$56)</f>
        <v>-0.12</v>
      </c>
      <c r="G63" s="68">
        <f t="shared" si="1"/>
        <v>-0.05</v>
      </c>
      <c r="H63" s="68">
        <f t="shared" si="1"/>
        <v>-0.02</v>
      </c>
      <c r="I63" s="68">
        <f t="shared" si="1"/>
        <v>-0.02</v>
      </c>
      <c r="J63" s="68">
        <f t="shared" si="1"/>
        <v>0.04</v>
      </c>
      <c r="K63" s="69">
        <f t="shared" si="1"/>
        <v>0.04</v>
      </c>
    </row>
    <row r="65" spans="1:12" x14ac:dyDescent="0.3">
      <c r="A65" s="4" t="s">
        <v>311</v>
      </c>
    </row>
    <row r="66" spans="1:12" x14ac:dyDescent="0.3">
      <c r="B66" s="6" t="s">
        <v>43</v>
      </c>
      <c r="C66" s="6"/>
      <c r="D66" s="6"/>
      <c r="F66" s="2" t="s">
        <v>75</v>
      </c>
      <c r="G66" s="2" t="s">
        <v>313</v>
      </c>
      <c r="H66" s="2" t="s">
        <v>303</v>
      </c>
      <c r="I66" s="2" t="s">
        <v>314</v>
      </c>
      <c r="J66" s="2" t="s">
        <v>315</v>
      </c>
      <c r="K66" s="2" t="s">
        <v>316</v>
      </c>
      <c r="L66" s="2" t="s">
        <v>317</v>
      </c>
    </row>
    <row r="67" spans="1:12" x14ac:dyDescent="0.3">
      <c r="B67" s="6"/>
      <c r="C67" s="6" t="s">
        <v>227</v>
      </c>
      <c r="D67" s="6"/>
      <c r="E67" s="60">
        <f>INDEX('Financial Model'!367:367,'Structuring Assumptions'!$E$4)</f>
        <v>199035728.0300006</v>
      </c>
      <c r="K67" s="60">
        <f>SUM(F67:J67)</f>
        <v>0</v>
      </c>
      <c r="L67" s="60">
        <f>K67+E67</f>
        <v>199035728.0300006</v>
      </c>
    </row>
    <row r="68" spans="1:12" x14ac:dyDescent="0.3">
      <c r="B68" s="6"/>
      <c r="C68" s="6" t="s">
        <v>59</v>
      </c>
      <c r="D68" s="6"/>
      <c r="E68" s="60">
        <f>INDEX('Financial Model'!368:368,'Structuring Assumptions'!$E$4)</f>
        <v>614928927.08496583</v>
      </c>
      <c r="K68" s="60">
        <f t="shared" ref="K68:K73" si="2">SUM(F68:J68)</f>
        <v>0</v>
      </c>
      <c r="L68" s="60">
        <f t="shared" ref="L68:L74" si="3">K68+E68</f>
        <v>614928927.08496583</v>
      </c>
    </row>
    <row r="69" spans="1:12" x14ac:dyDescent="0.3">
      <c r="B69" s="6"/>
      <c r="C69" s="6" t="s">
        <v>167</v>
      </c>
      <c r="D69" s="6"/>
      <c r="E69" s="60">
        <f>INDEX('Financial Model'!369:369,'Structuring Assumptions'!$E$4)</f>
        <v>1615311080.3556349</v>
      </c>
      <c r="K69" s="60">
        <f t="shared" si="2"/>
        <v>0</v>
      </c>
      <c r="L69" s="60">
        <f t="shared" si="3"/>
        <v>1615311080.3556349</v>
      </c>
    </row>
    <row r="70" spans="1:12" x14ac:dyDescent="0.3">
      <c r="B70" s="6"/>
      <c r="C70" s="6" t="s">
        <v>257</v>
      </c>
      <c r="D70" s="6"/>
      <c r="E70" s="60">
        <f>INDEX('Financial Model'!370:370,'Structuring Assumptions'!$E$4)</f>
        <v>1072378783.3672003</v>
      </c>
      <c r="K70" s="60">
        <f t="shared" si="2"/>
        <v>0</v>
      </c>
      <c r="L70" s="60">
        <f t="shared" si="3"/>
        <v>1072378783.3672003</v>
      </c>
    </row>
    <row r="71" spans="1:12" x14ac:dyDescent="0.3">
      <c r="B71" s="6"/>
      <c r="C71" s="25" t="s">
        <v>75</v>
      </c>
      <c r="D71" s="6"/>
      <c r="E71" s="60"/>
      <c r="F71" s="60">
        <f>E53</f>
        <v>3656782296.7471786</v>
      </c>
      <c r="K71" s="60">
        <f t="shared" si="2"/>
        <v>3656782296.7471786</v>
      </c>
      <c r="L71" s="60">
        <f t="shared" si="3"/>
        <v>3656782296.7471786</v>
      </c>
    </row>
    <row r="72" spans="1:12" x14ac:dyDescent="0.3">
      <c r="B72" s="6"/>
      <c r="C72" s="25" t="s">
        <v>312</v>
      </c>
      <c r="D72" s="6"/>
      <c r="E72" s="60"/>
      <c r="G72" s="60">
        <f>E42</f>
        <v>111148800.54020151</v>
      </c>
      <c r="K72" s="60">
        <f t="shared" si="2"/>
        <v>111148800.54020151</v>
      </c>
      <c r="L72" s="60">
        <f t="shared" si="3"/>
        <v>111148800.54020151</v>
      </c>
    </row>
    <row r="73" spans="1:12" x14ac:dyDescent="0.3">
      <c r="B73" s="6"/>
      <c r="C73" s="25" t="s">
        <v>258</v>
      </c>
      <c r="D73" s="6"/>
      <c r="E73" s="60">
        <f>INDEX('Financial Model'!371:371,'Structuring Assumptions'!$E$4)</f>
        <v>231823892.46811008</v>
      </c>
      <c r="K73" s="60">
        <f t="shared" si="2"/>
        <v>0</v>
      </c>
      <c r="L73" s="60">
        <f t="shared" si="3"/>
        <v>231823892.46811008</v>
      </c>
    </row>
    <row r="74" spans="1:12" ht="13.5" thickBot="1" x14ac:dyDescent="0.35">
      <c r="B74" s="6"/>
      <c r="C74" s="6"/>
      <c r="D74" s="48" t="s">
        <v>199</v>
      </c>
      <c r="E74" s="57">
        <f>INDEX('Financial Model'!372:372,'Structuring Assumptions'!$E$4)</f>
        <v>3733478411.3059115</v>
      </c>
      <c r="F74" s="48"/>
      <c r="G74" s="48"/>
      <c r="H74" s="48"/>
      <c r="I74" s="48"/>
      <c r="J74" s="48"/>
      <c r="K74" s="57">
        <f>SUM(K67:K73)</f>
        <v>3767931097.2873802</v>
      </c>
      <c r="L74" s="57">
        <f t="shared" si="3"/>
        <v>7501409508.5932922</v>
      </c>
    </row>
    <row r="75" spans="1:12" ht="13.5" thickTop="1" x14ac:dyDescent="0.3">
      <c r="B75" s="6"/>
      <c r="C75" s="6"/>
      <c r="D75" s="6"/>
      <c r="E75" s="60"/>
    </row>
    <row r="76" spans="1:12" x14ac:dyDescent="0.3">
      <c r="B76" s="6" t="s">
        <v>103</v>
      </c>
      <c r="C76" s="6"/>
      <c r="D76" s="6"/>
      <c r="E76" s="60"/>
    </row>
    <row r="77" spans="1:12" x14ac:dyDescent="0.3">
      <c r="B77" s="6"/>
      <c r="C77" s="6" t="s">
        <v>85</v>
      </c>
      <c r="D77" s="6"/>
      <c r="E77" s="60">
        <f>INDEX('Financial Model'!377:377,'Structuring Assumptions'!$E$4)</f>
        <v>721332675.64099979</v>
      </c>
      <c r="K77" s="60">
        <f t="shared" ref="K77:K80" si="4">SUM(F77:J77)</f>
        <v>0</v>
      </c>
      <c r="L77" s="60">
        <f>K77+E77</f>
        <v>721332675.64099979</v>
      </c>
    </row>
    <row r="78" spans="1:12" x14ac:dyDescent="0.3">
      <c r="B78" s="6"/>
      <c r="C78" s="6" t="s">
        <v>259</v>
      </c>
      <c r="D78" s="6"/>
      <c r="E78" s="60">
        <f>INDEX('Financial Model'!378:378,'Structuring Assumptions'!$E$4)</f>
        <v>0</v>
      </c>
      <c r="G78" s="60">
        <f>E46</f>
        <v>5557440027.0100756</v>
      </c>
      <c r="K78" s="60">
        <f t="shared" si="4"/>
        <v>5557440027.0100756</v>
      </c>
      <c r="L78" s="60">
        <f t="shared" ref="L78:L81" si="5">K78+E78</f>
        <v>5557440027.0100756</v>
      </c>
    </row>
    <row r="79" spans="1:12" x14ac:dyDescent="0.3">
      <c r="B79" s="6"/>
      <c r="C79" s="6" t="s">
        <v>260</v>
      </c>
      <c r="D79" s="6"/>
      <c r="E79" s="60">
        <f>INDEX('Financial Model'!379:379,'Structuring Assumptions'!$E$4)</f>
        <v>0</v>
      </c>
      <c r="K79" s="60">
        <f t="shared" si="4"/>
        <v>0</v>
      </c>
      <c r="L79" s="60">
        <f t="shared" si="5"/>
        <v>0</v>
      </c>
    </row>
    <row r="80" spans="1:12" x14ac:dyDescent="0.3">
      <c r="B80" s="6"/>
      <c r="C80" s="25" t="s">
        <v>107</v>
      </c>
      <c r="D80" s="6"/>
      <c r="E80" s="60">
        <f>INDEX('Financial Model'!380:380,'Structuring Assumptions'!$E$4)</f>
        <v>3012145735.6649117</v>
      </c>
      <c r="H80" s="60">
        <f>-E41</f>
        <v>-100033920.48618135</v>
      </c>
      <c r="I80" s="60">
        <f>-E80</f>
        <v>-3012145735.6649117</v>
      </c>
      <c r="J80" s="60">
        <f>E47</f>
        <v>1322670726.4283972</v>
      </c>
      <c r="K80" s="60">
        <f t="shared" si="4"/>
        <v>-1789508929.7226958</v>
      </c>
      <c r="L80" s="60">
        <f t="shared" si="5"/>
        <v>1222636805.9422159</v>
      </c>
    </row>
    <row r="81" spans="2:12" ht="13.5" thickBot="1" x14ac:dyDescent="0.35">
      <c r="B81" s="6"/>
      <c r="C81" s="25"/>
      <c r="D81" s="48" t="s">
        <v>199</v>
      </c>
      <c r="E81" s="57">
        <f>INDEX('Financial Model'!381:381,'Structuring Assumptions'!$E$4)</f>
        <v>3733478411.3059115</v>
      </c>
      <c r="F81" s="48"/>
      <c r="G81" s="48"/>
      <c r="H81" s="48"/>
      <c r="I81" s="48"/>
      <c r="J81" s="48"/>
      <c r="K81" s="57">
        <f>SUM(K77:K80)</f>
        <v>3767931097.2873797</v>
      </c>
      <c r="L81" s="57">
        <f t="shared" si="5"/>
        <v>7501409508.5932913</v>
      </c>
    </row>
    <row r="82" spans="2:12" ht="13.5" thickTop="1" x14ac:dyDescent="0.3"/>
    <row r="83" spans="2:12" x14ac:dyDescent="0.3">
      <c r="K83" s="1" t="b">
        <f>K81=K74</f>
        <v>1</v>
      </c>
    </row>
  </sheetData>
  <sortState columnSort="1" ref="E32:H33">
    <sortCondition ref="E32:H32"/>
  </sortState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4337" r:id="rId3" name="Drop Down 1">
              <controlPr defaultSize="0" autoLine="0" autoPict="0">
                <anchor moveWithCells="1">
                  <from>
                    <xdr:col>5</xdr:col>
                    <xdr:colOff>984250</xdr:colOff>
                    <xdr:row>52</xdr:row>
                    <xdr:rowOff>152400</xdr:rowOff>
                  </from>
                  <to>
                    <xdr:col>7</xdr:col>
                    <xdr:colOff>946150</xdr:colOff>
                    <xdr:row>54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4"/>
  <dimension ref="A1:O131"/>
  <sheetViews>
    <sheetView zoomScale="80" zoomScaleNormal="80" workbookViewId="0">
      <pane xSplit="6" ySplit="6" topLeftCell="G79" activePane="bottomRight" state="frozen"/>
      <selection pane="topRight" activeCell="G1" sqref="G1"/>
      <selection pane="bottomLeft" activeCell="A7" sqref="A7"/>
      <selection pane="bottomRight" activeCell="A79" sqref="A79"/>
    </sheetView>
  </sheetViews>
  <sheetFormatPr defaultRowHeight="13" x14ac:dyDescent="0.3"/>
  <cols>
    <col min="1" max="1" width="1.26953125" style="4" customWidth="1"/>
    <col min="2" max="3" width="1.26953125" customWidth="1"/>
    <col min="4" max="4" width="30.08984375" customWidth="1"/>
    <col min="5" max="6" width="6.7265625" customWidth="1"/>
    <col min="7" max="15" width="17" customWidth="1"/>
  </cols>
  <sheetData>
    <row r="1" spans="1:15" x14ac:dyDescent="0.3">
      <c r="A1" s="4" t="s">
        <v>321</v>
      </c>
    </row>
    <row r="2" spans="1:15" x14ac:dyDescent="0.3">
      <c r="B2" s="1" t="s">
        <v>322</v>
      </c>
      <c r="G2" s="71">
        <f>'Structuring Assumptions'!E3</f>
        <v>2014</v>
      </c>
      <c r="H2">
        <f>G2+1</f>
        <v>2015</v>
      </c>
      <c r="I2">
        <f t="shared" ref="I2:O2" si="0">H2+1</f>
        <v>2016</v>
      </c>
      <c r="J2">
        <f t="shared" si="0"/>
        <v>2017</v>
      </c>
      <c r="K2">
        <f t="shared" si="0"/>
        <v>2018</v>
      </c>
      <c r="L2">
        <f t="shared" si="0"/>
        <v>2019</v>
      </c>
      <c r="M2">
        <f t="shared" si="0"/>
        <v>2020</v>
      </c>
      <c r="N2">
        <f t="shared" si="0"/>
        <v>2021</v>
      </c>
      <c r="O2">
        <f t="shared" si="0"/>
        <v>2022</v>
      </c>
    </row>
    <row r="3" spans="1:15" x14ac:dyDescent="0.3">
      <c r="B3" s="1" t="s">
        <v>296</v>
      </c>
      <c r="G3">
        <v>0</v>
      </c>
      <c r="H3">
        <v>1</v>
      </c>
      <c r="I3">
        <v>2</v>
      </c>
      <c r="J3">
        <v>3</v>
      </c>
      <c r="K3">
        <v>4</v>
      </c>
      <c r="L3">
        <v>5</v>
      </c>
      <c r="M3">
        <v>6</v>
      </c>
      <c r="N3">
        <v>7</v>
      </c>
      <c r="O3">
        <v>8</v>
      </c>
    </row>
    <row r="4" spans="1:15" x14ac:dyDescent="0.3">
      <c r="B4" s="1" t="s">
        <v>323</v>
      </c>
      <c r="E4" s="71">
        <f>'Structuring Assumptions'!E20</f>
        <v>5</v>
      </c>
      <c r="H4" t="b">
        <f>H3&lt;=$E$4</f>
        <v>1</v>
      </c>
      <c r="I4" t="b">
        <f t="shared" ref="I4:O4" si="1">I3&lt;=$E$4</f>
        <v>1</v>
      </c>
      <c r="J4" t="b">
        <f t="shared" si="1"/>
        <v>1</v>
      </c>
      <c r="K4" t="b">
        <f t="shared" si="1"/>
        <v>1</v>
      </c>
      <c r="L4" t="b">
        <f t="shared" si="1"/>
        <v>1</v>
      </c>
      <c r="M4" t="b">
        <f t="shared" si="1"/>
        <v>0</v>
      </c>
      <c r="N4" t="b">
        <f t="shared" si="1"/>
        <v>0</v>
      </c>
      <c r="O4" t="b">
        <f t="shared" si="1"/>
        <v>0</v>
      </c>
    </row>
    <row r="5" spans="1:15" x14ac:dyDescent="0.3">
      <c r="B5" s="1" t="s">
        <v>324</v>
      </c>
      <c r="E5">
        <f>E4</f>
        <v>5</v>
      </c>
      <c r="H5" t="b">
        <f>H3=$E$5</f>
        <v>0</v>
      </c>
      <c r="I5" t="b">
        <f t="shared" ref="I5:O5" si="2">I3=$E$5</f>
        <v>0</v>
      </c>
      <c r="J5" t="b">
        <f t="shared" si="2"/>
        <v>0</v>
      </c>
      <c r="K5" t="b">
        <f t="shared" si="2"/>
        <v>0</v>
      </c>
      <c r="L5" t="b">
        <f t="shared" si="2"/>
        <v>1</v>
      </c>
      <c r="M5" t="b">
        <f t="shared" si="2"/>
        <v>0</v>
      </c>
      <c r="N5" t="b">
        <f t="shared" si="2"/>
        <v>0</v>
      </c>
      <c r="O5" t="b">
        <f t="shared" si="2"/>
        <v>0</v>
      </c>
    </row>
    <row r="6" spans="1:15" x14ac:dyDescent="0.3">
      <c r="B6" s="1" t="s">
        <v>325</v>
      </c>
      <c r="G6" s="1">
        <f>MATCH(G2,'Financial Model'!2:2)</f>
        <v>12</v>
      </c>
      <c r="H6" s="1">
        <f>MATCH(H2,'Financial Model'!2:2)</f>
        <v>13</v>
      </c>
      <c r="I6" s="1">
        <f>MATCH(I2,'Financial Model'!2:2)</f>
        <v>14</v>
      </c>
      <c r="J6" s="1">
        <f>MATCH(J2,'Financial Model'!2:2)</f>
        <v>15</v>
      </c>
      <c r="K6" s="1">
        <f>MATCH(K2,'Financial Model'!2:2)</f>
        <v>16</v>
      </c>
      <c r="L6" s="1">
        <f>MATCH(L2,'Financial Model'!2:2)</f>
        <v>17</v>
      </c>
      <c r="M6" s="1">
        <f>MATCH(M2,'Financial Model'!2:2)</f>
        <v>18</v>
      </c>
      <c r="N6" s="1">
        <f>MATCH(N2,'Financial Model'!2:2)</f>
        <v>19</v>
      </c>
      <c r="O6" s="1">
        <f>MATCH(O2,'Financial Model'!2:2)</f>
        <v>20</v>
      </c>
    </row>
    <row r="8" spans="1:15" x14ac:dyDescent="0.3">
      <c r="A8" s="4" t="s">
        <v>311</v>
      </c>
      <c r="G8" s="75" t="str">
        <f>'Structuring Assumptions'!L66</f>
        <v xml:space="preserve">Adjusted </v>
      </c>
      <c r="H8" s="71">
        <f>MATCH(G8,'Structuring Assumptions'!66:66,0)</f>
        <v>12</v>
      </c>
    </row>
    <row r="9" spans="1:15" x14ac:dyDescent="0.3">
      <c r="B9" t="s">
        <v>43</v>
      </c>
    </row>
    <row r="10" spans="1:15" x14ac:dyDescent="0.3">
      <c r="C10" t="s">
        <v>227</v>
      </c>
      <c r="G10" s="76">
        <f>INDEX('Structuring Assumptions'!67:67,'Acquisition Model'!$H$8)</f>
        <v>199035728.0300006</v>
      </c>
    </row>
    <row r="11" spans="1:15" x14ac:dyDescent="0.3">
      <c r="C11" t="s">
        <v>59</v>
      </c>
      <c r="G11" s="76">
        <f>INDEX('Structuring Assumptions'!68:68,'Acquisition Model'!$H$8)</f>
        <v>614928927.08496583</v>
      </c>
    </row>
    <row r="12" spans="1:15" x14ac:dyDescent="0.3">
      <c r="C12" t="s">
        <v>167</v>
      </c>
      <c r="G12" s="76">
        <f>INDEX('Structuring Assumptions'!69:69,'Acquisition Model'!$H$8)</f>
        <v>1615311080.3556349</v>
      </c>
    </row>
    <row r="13" spans="1:15" x14ac:dyDescent="0.3">
      <c r="C13" t="s">
        <v>257</v>
      </c>
      <c r="G13" s="76">
        <f>INDEX('Structuring Assumptions'!70:70,'Acquisition Model'!$H$8)</f>
        <v>1072378783.3672003</v>
      </c>
    </row>
    <row r="14" spans="1:15" x14ac:dyDescent="0.3">
      <c r="C14" t="s">
        <v>75</v>
      </c>
      <c r="G14" s="76">
        <f>INDEX('Structuring Assumptions'!71:71,'Acquisition Model'!$H$8)</f>
        <v>3656782296.7471786</v>
      </c>
    </row>
    <row r="15" spans="1:15" x14ac:dyDescent="0.3">
      <c r="C15" t="s">
        <v>312</v>
      </c>
      <c r="G15" s="76">
        <f>INDEX('Structuring Assumptions'!72:72,'Acquisition Model'!$H$8)</f>
        <v>111148800.54020151</v>
      </c>
    </row>
    <row r="16" spans="1:15" x14ac:dyDescent="0.3">
      <c r="C16" t="s">
        <v>258</v>
      </c>
      <c r="G16" s="76">
        <f>INDEX('Structuring Assumptions'!73:73,'Acquisition Model'!$H$8)</f>
        <v>231823892.46811008</v>
      </c>
    </row>
    <row r="17" spans="1:15" ht="13.5" thickBot="1" x14ac:dyDescent="0.35">
      <c r="D17" s="70" t="s">
        <v>199</v>
      </c>
      <c r="E17" s="70"/>
      <c r="F17" s="70"/>
      <c r="G17" s="77">
        <f>INDEX('Structuring Assumptions'!74:74,'Acquisition Model'!$H$8)</f>
        <v>7501409508.5932922</v>
      </c>
    </row>
    <row r="18" spans="1:15" ht="13.5" thickTop="1" x14ac:dyDescent="0.3">
      <c r="G18" s="58"/>
    </row>
    <row r="19" spans="1:15" x14ac:dyDescent="0.3">
      <c r="B19" t="s">
        <v>103</v>
      </c>
      <c r="G19" s="58"/>
    </row>
    <row r="20" spans="1:15" x14ac:dyDescent="0.3">
      <c r="C20" t="s">
        <v>85</v>
      </c>
      <c r="G20" s="76">
        <f>INDEX('Structuring Assumptions'!77:77,'Acquisition Model'!$H$8)</f>
        <v>721332675.64099979</v>
      </c>
    </row>
    <row r="21" spans="1:15" x14ac:dyDescent="0.3">
      <c r="C21" t="s">
        <v>259</v>
      </c>
      <c r="G21" s="76">
        <f>INDEX('Structuring Assumptions'!78:78,'Acquisition Model'!$H$8)</f>
        <v>5557440027.0100756</v>
      </c>
    </row>
    <row r="22" spans="1:15" x14ac:dyDescent="0.3">
      <c r="C22" t="s">
        <v>260</v>
      </c>
      <c r="G22" s="76">
        <f>INDEX('Structuring Assumptions'!79:79,'Acquisition Model'!$H$8)</f>
        <v>0</v>
      </c>
    </row>
    <row r="23" spans="1:15" x14ac:dyDescent="0.3">
      <c r="C23" t="s">
        <v>107</v>
      </c>
      <c r="G23" s="76">
        <f>INDEX('Structuring Assumptions'!80:80,'Acquisition Model'!$H$8)</f>
        <v>1222636805.9422159</v>
      </c>
    </row>
    <row r="24" spans="1:15" ht="13.5" thickBot="1" x14ac:dyDescent="0.35">
      <c r="D24" s="70" t="s">
        <v>199</v>
      </c>
      <c r="E24" s="70"/>
      <c r="F24" s="70"/>
      <c r="G24" s="77">
        <f>INDEX('Structuring Assumptions'!81:81,'Acquisition Model'!$H$8)</f>
        <v>7501409508.5932913</v>
      </c>
    </row>
    <row r="25" spans="1:15" ht="13.5" thickTop="1" x14ac:dyDescent="0.3"/>
    <row r="26" spans="1:15" x14ac:dyDescent="0.3">
      <c r="A26" s="4" t="s">
        <v>326</v>
      </c>
    </row>
    <row r="27" spans="1:15" x14ac:dyDescent="0.3">
      <c r="B27" s="1" t="s">
        <v>222</v>
      </c>
      <c r="H27" s="60">
        <f>INDEX('Financial Model'!346:346,'Acquisition Model'!H$6)</f>
        <v>1145358853.7237959</v>
      </c>
      <c r="I27" s="60">
        <f>INDEX('Financial Model'!346:346,'Acquisition Model'!I$6)</f>
        <v>1263012866.3078823</v>
      </c>
      <c r="J27" s="60">
        <f>INDEX('Financial Model'!346:346,'Acquisition Model'!J$6)</f>
        <v>1392041970.4209843</v>
      </c>
      <c r="K27" s="60">
        <f>INDEX('Financial Model'!346:346,'Acquisition Model'!K$6)</f>
        <v>1533632532.0055161</v>
      </c>
      <c r="L27" s="60">
        <f>INDEX('Financial Model'!346:346,'Acquisition Model'!L$6)</f>
        <v>1689083437.978404</v>
      </c>
      <c r="M27" s="60">
        <f>INDEX('Financial Model'!346:346,'Acquisition Model'!M$6)</f>
        <v>1859818113.8476219</v>
      </c>
      <c r="N27" s="60">
        <f>INDEX('Financial Model'!346:346,'Acquisition Model'!N$6)</f>
        <v>2047397647.2669811</v>
      </c>
      <c r="O27" s="60">
        <f>INDEX('Financial Model'!346:346,'Acquisition Model'!O$6)</f>
        <v>2253535140.1176262</v>
      </c>
    </row>
    <row r="28" spans="1:15" x14ac:dyDescent="0.3">
      <c r="B28" s="1" t="s">
        <v>327</v>
      </c>
      <c r="H28" s="60">
        <f>INDEX('Financial Model'!348:348,'Acquisition Model'!H$6)</f>
        <v>150890733.17996001</v>
      </c>
      <c r="I28" s="60">
        <f>INDEX('Financial Model'!348:348,'Acquisition Model'!I$6)</f>
        <v>165979806.49795604</v>
      </c>
      <c r="J28" s="60">
        <f>INDEX('Financial Model'!348:348,'Acquisition Model'!J$6)</f>
        <v>182577787.14775229</v>
      </c>
      <c r="K28" s="60">
        <f>INDEX('Financial Model'!348:348,'Acquisition Model'!K$6)</f>
        <v>200835565.86252642</v>
      </c>
      <c r="L28" s="60">
        <f>INDEX('Financial Model'!348:348,'Acquisition Model'!L$6)</f>
        <v>220919122.44878006</v>
      </c>
      <c r="M28" s="60">
        <f>INDEX('Financial Model'!348:348,'Acquisition Model'!M$6)</f>
        <v>243011034.6936574</v>
      </c>
      <c r="N28" s="60">
        <f>INDEX('Financial Model'!348:348,'Acquisition Model'!N$6)</f>
        <v>267312138.16302443</v>
      </c>
      <c r="O28" s="60">
        <f>INDEX('Financial Model'!348:348,'Acquisition Model'!O$6)</f>
        <v>294043351.97932625</v>
      </c>
    </row>
    <row r="29" spans="1:15" x14ac:dyDescent="0.3">
      <c r="B29" s="1" t="s">
        <v>328</v>
      </c>
      <c r="H29" s="60">
        <f>INDEX('Financial Model'!349:349,'Acquisition Model'!H6)</f>
        <v>185143567.30100006</v>
      </c>
      <c r="I29" s="60">
        <f>INDEX('Financial Model'!349:349,'Acquisition Model'!I6)</f>
        <v>203657924.03110006</v>
      </c>
      <c r="J29" s="60">
        <f>INDEX('Financial Model'!349:349,'Acquisition Model'!J6)</f>
        <v>224023716.43421009</v>
      </c>
      <c r="K29" s="60">
        <f>INDEX('Financial Model'!349:349,'Acquisition Model'!K6)</f>
        <v>246426088.07763115</v>
      </c>
      <c r="L29" s="60">
        <f>INDEX('Financial Model'!349:349,'Acquisition Model'!L6)</f>
        <v>271068696.88539428</v>
      </c>
      <c r="M29" s="60">
        <f>INDEX('Financial Model'!349:349,'Acquisition Model'!M6)</f>
        <v>298175566.57393372</v>
      </c>
      <c r="N29" s="60">
        <f>INDEX('Financial Model'!349:349,'Acquisition Model'!N6)</f>
        <v>327993123.23132718</v>
      </c>
      <c r="O29" s="60">
        <f>INDEX('Financial Model'!349:349,'Acquisition Model'!O6)</f>
        <v>360792435.55445987</v>
      </c>
    </row>
    <row r="30" spans="1:15" x14ac:dyDescent="0.3">
      <c r="B30" s="1" t="s">
        <v>329</v>
      </c>
      <c r="H30" s="60">
        <f>INDEX('Financial Model'!336:336,'Acquisition Model'!H6)</f>
        <v>134234379.91005492</v>
      </c>
      <c r="I30" s="60">
        <f>INDEX('Financial Model'!336:336,'Acquisition Model'!I6)</f>
        <v>140606907.32960227</v>
      </c>
      <c r="J30" s="60">
        <f>INDEX('Financial Model'!336:336,'Acquisition Model'!J6)</f>
        <v>148499281.05136582</v>
      </c>
      <c r="K30" s="60">
        <f>INDEX('Financial Model'!336:336,'Acquisition Model'!K6)</f>
        <v>157953007.57870397</v>
      </c>
      <c r="L30" s="60">
        <f>INDEX('Financial Model'!336:336,'Acquisition Model'!L6)</f>
        <v>169027573.09949467</v>
      </c>
      <c r="M30" s="60">
        <f>INDEX('Financial Model'!336:336,'Acquisition Model'!M6)</f>
        <v>181800510.41341314</v>
      </c>
      <c r="N30" s="60">
        <f>INDEX('Financial Model'!336:336,'Acquisition Model'!N6)</f>
        <v>196367689.23399249</v>
      </c>
      <c r="O30" s="60">
        <f>INDEX('Financial Model'!336:336,'Acquisition Model'!O6)</f>
        <v>212843825.07989722</v>
      </c>
    </row>
    <row r="31" spans="1:15" x14ac:dyDescent="0.3">
      <c r="B31" s="1" t="s">
        <v>241</v>
      </c>
      <c r="H31" s="60">
        <f>INDEX('Financial Model'!331:331,'Acquisition Model'!H6)</f>
        <v>0.1</v>
      </c>
      <c r="I31" s="60">
        <f>INDEX('Financial Model'!331:331,'Acquisition Model'!I6)</f>
        <v>0.1</v>
      </c>
      <c r="J31" s="60">
        <f>INDEX('Financial Model'!331:331,'Acquisition Model'!J6)</f>
        <v>0.1</v>
      </c>
      <c r="K31" s="60">
        <f>INDEX('Financial Model'!331:331,'Acquisition Model'!K6)</f>
        <v>0.1</v>
      </c>
      <c r="L31" s="60">
        <f>INDEX('Financial Model'!331:331,'Acquisition Model'!L6)</f>
        <v>0.1</v>
      </c>
      <c r="M31" s="60">
        <f>INDEX('Financial Model'!331:331,'Acquisition Model'!M6)</f>
        <v>0.1</v>
      </c>
      <c r="N31" s="60">
        <f>INDEX('Financial Model'!331:331,'Acquisition Model'!N6)</f>
        <v>0.1</v>
      </c>
      <c r="O31" s="60">
        <f>INDEX('Financial Model'!331:331,'Acquisition Model'!O6)</f>
        <v>0.1</v>
      </c>
    </row>
    <row r="32" spans="1:15" x14ac:dyDescent="0.3">
      <c r="B32" s="1" t="s">
        <v>330</v>
      </c>
      <c r="G32" s="60">
        <f>INDEX('Financial Model'!368:368,'Acquisition Model'!G6)</f>
        <v>614928927.08496583</v>
      </c>
      <c r="H32" s="60">
        <f>INDEX('Financial Model'!368:368,'Acquisition Model'!H6)</f>
        <v>676421819.7934624</v>
      </c>
      <c r="I32" s="60">
        <f>INDEX('Financial Model'!368:368,'Acquisition Model'!I6)</f>
        <v>744064001.77280879</v>
      </c>
      <c r="J32" s="60">
        <f>INDEX('Financial Model'!368:368,'Acquisition Model'!J6)</f>
        <v>818470401.95008969</v>
      </c>
      <c r="K32" s="60">
        <f>INDEX('Financial Model'!368:368,'Acquisition Model'!K6)</f>
        <v>900317442.14509881</v>
      </c>
      <c r="L32" s="60">
        <f>INDEX('Financial Model'!368:368,'Acquisition Model'!L6)</f>
        <v>990349186.35960865</v>
      </c>
      <c r="M32" s="60">
        <f>INDEX('Financial Model'!368:368,'Acquisition Model'!M6)</f>
        <v>1089384104.9955695</v>
      </c>
      <c r="N32" s="60">
        <f>INDEX('Financial Model'!368:368,'Acquisition Model'!N6)</f>
        <v>1198322515.4951267</v>
      </c>
      <c r="O32" s="60">
        <f>INDEX('Financial Model'!368:368,'Acquisition Model'!O6)</f>
        <v>1318154767.0446396</v>
      </c>
    </row>
    <row r="33" spans="1:15" x14ac:dyDescent="0.3">
      <c r="B33" s="1" t="s">
        <v>331</v>
      </c>
      <c r="G33" s="60">
        <f>INDEX('Financial Model'!369:369,'Acquisition Model'!G6)</f>
        <v>1615311080.3556349</v>
      </c>
      <c r="H33" s="60">
        <f>INDEX('Financial Model'!369:369,'Acquisition Model'!H6)</f>
        <v>1776842188.3911984</v>
      </c>
      <c r="I33" s="60">
        <f>INDEX('Financial Model'!369:369,'Acquisition Model'!I6)</f>
        <v>1954526407.2303183</v>
      </c>
      <c r="J33" s="60">
        <f>INDEX('Financial Model'!369:369,'Acquisition Model'!J6)</f>
        <v>2149979047.9533505</v>
      </c>
      <c r="K33" s="60">
        <f>INDEX('Financial Model'!369:369,'Acquisition Model'!K6)</f>
        <v>2364976952.7486854</v>
      </c>
      <c r="L33" s="60">
        <f>INDEX('Financial Model'!369:369,'Acquisition Model'!L6)</f>
        <v>2601474648.0235538</v>
      </c>
      <c r="M33" s="60">
        <f>INDEX('Financial Model'!369:369,'Acquisition Model'!M6)</f>
        <v>2861622112.8259091</v>
      </c>
      <c r="N33" s="60">
        <f>INDEX('Financial Model'!369:369,'Acquisition Model'!N6)</f>
        <v>3147784324.108501</v>
      </c>
      <c r="O33" s="60">
        <f>INDEX('Financial Model'!369:369,'Acquisition Model'!O6)</f>
        <v>3462562756.5193515</v>
      </c>
    </row>
    <row r="34" spans="1:15" x14ac:dyDescent="0.3">
      <c r="B34" s="1" t="s">
        <v>332</v>
      </c>
      <c r="G34" s="60">
        <f>INDEX('Financial Model'!370:370,'Acquisition Model'!G6)</f>
        <v>1072378783.3672003</v>
      </c>
      <c r="H34" s="60">
        <f>INDEX('Financial Model'!370:370,'Acquisition Model'!H6)</f>
        <v>1123287970.7581453</v>
      </c>
      <c r="I34" s="60">
        <f>INDEX('Financial Model'!370:370,'Acquisition Model'!I6)</f>
        <v>1186338987.4596431</v>
      </c>
      <c r="J34" s="60">
        <f>INDEX('Financial Model'!370:370,'Acquisition Model'!J6)</f>
        <v>1261863422.8424873</v>
      </c>
      <c r="K34" s="60">
        <f>INDEX('Financial Model'!370:370,'Acquisition Model'!K6)</f>
        <v>1350336503.3414147</v>
      </c>
      <c r="L34" s="60">
        <f>INDEX('Financial Model'!370:370,'Acquisition Model'!L6)</f>
        <v>1452377627.1273143</v>
      </c>
      <c r="M34" s="60">
        <f>INDEX('Financial Model'!370:370,'Acquisition Model'!M6)</f>
        <v>1568752683.2878351</v>
      </c>
      <c r="N34" s="60">
        <f>INDEX('Financial Model'!370:370,'Acquisition Model'!N6)</f>
        <v>1700378117.2851696</v>
      </c>
      <c r="O34" s="60">
        <f>INDEX('Financial Model'!370:370,'Acquisition Model'!O6)</f>
        <v>1848326727.7597322</v>
      </c>
    </row>
    <row r="35" spans="1:15" x14ac:dyDescent="0.3">
      <c r="B35" s="1" t="s">
        <v>334</v>
      </c>
      <c r="G35" s="60">
        <f>INDEX('Financial Model'!371:371,'Acquisition Model'!G6)</f>
        <v>231823892.46811008</v>
      </c>
      <c r="H35" s="60">
        <f>INDEX('Financial Model'!371:371,'Acquisition Model'!H6)</f>
        <v>231823892.46811008</v>
      </c>
      <c r="I35" s="60">
        <f>INDEX('Financial Model'!371:371,'Acquisition Model'!I6)</f>
        <v>231823892.46811008</v>
      </c>
      <c r="J35" s="60">
        <f>INDEX('Financial Model'!371:371,'Acquisition Model'!J6)</f>
        <v>231823892.46811008</v>
      </c>
      <c r="K35" s="60">
        <f>INDEX('Financial Model'!371:371,'Acquisition Model'!K6)</f>
        <v>231823892.46811008</v>
      </c>
      <c r="L35" s="60">
        <f>INDEX('Financial Model'!371:371,'Acquisition Model'!L6)</f>
        <v>231823892.46811008</v>
      </c>
      <c r="M35" s="60">
        <f>INDEX('Financial Model'!371:371,'Acquisition Model'!M6)</f>
        <v>231823892.46811008</v>
      </c>
      <c r="N35" s="60">
        <f>INDEX('Financial Model'!371:371,'Acquisition Model'!N6)</f>
        <v>231823892.46811008</v>
      </c>
      <c r="O35" s="60">
        <f>INDEX('Financial Model'!371:371,'Acquisition Model'!O6)</f>
        <v>231823892.46811008</v>
      </c>
    </row>
    <row r="36" spans="1:15" x14ac:dyDescent="0.3">
      <c r="B36" s="1" t="s">
        <v>364</v>
      </c>
      <c r="G36" s="60">
        <f>INDEX('Financial Model'!377:377,'Acquisition Model'!G6)</f>
        <v>721332675.64099979</v>
      </c>
      <c r="H36" s="60">
        <f>INDEX('Financial Model'!377:377,'Acquisition Model'!H6)</f>
        <v>793465943.20509982</v>
      </c>
      <c r="I36" s="60">
        <f>INDEX('Financial Model'!377:377,'Acquisition Model'!I6)</f>
        <v>872812537.52560985</v>
      </c>
      <c r="J36" s="60">
        <f>INDEX('Financial Model'!377:377,'Acquisition Model'!J6)</f>
        <v>960093791.27817094</v>
      </c>
      <c r="K36" s="60">
        <f>INDEX('Financial Model'!377:377,'Acquisition Model'!K6)</f>
        <v>1056103170.405988</v>
      </c>
      <c r="L36" s="60">
        <f>INDEX('Financial Model'!377:377,'Acquisition Model'!L6)</f>
        <v>1161713487.4465868</v>
      </c>
      <c r="M36" s="60">
        <f>INDEX('Financial Model'!377:377,'Acquisition Model'!M6)</f>
        <v>1277884836.1912456</v>
      </c>
      <c r="N36" s="60">
        <f>INDEX('Financial Model'!377:377,'Acquisition Model'!N6)</f>
        <v>1405673319.8103704</v>
      </c>
      <c r="O36" s="60">
        <f>INDEX('Financial Model'!377:377,'Acquisition Model'!O6)</f>
        <v>1546240651.7914076</v>
      </c>
    </row>
    <row r="37" spans="1:15" x14ac:dyDescent="0.3">
      <c r="B37" s="1" t="s">
        <v>333</v>
      </c>
      <c r="G37" s="60">
        <f>INDEX('Financial Model'!379:379,'Acquisition Model'!G6)</f>
        <v>0</v>
      </c>
      <c r="H37" s="60">
        <f>INDEX('Financial Model'!379:379,'Acquisition Model'!H6)</f>
        <v>0</v>
      </c>
      <c r="I37" s="60">
        <f>INDEX('Financial Model'!379:379,'Acquisition Model'!I6)</f>
        <v>0</v>
      </c>
      <c r="J37" s="60">
        <f>INDEX('Financial Model'!379:379,'Acquisition Model'!J6)</f>
        <v>0</v>
      </c>
      <c r="K37" s="60">
        <f>INDEX('Financial Model'!379:379,'Acquisition Model'!K6)</f>
        <v>0</v>
      </c>
      <c r="L37" s="60">
        <f>INDEX('Financial Model'!379:379,'Acquisition Model'!L6)</f>
        <v>0</v>
      </c>
      <c r="M37" s="60">
        <f>INDEX('Financial Model'!379:379,'Acquisition Model'!M6)</f>
        <v>0</v>
      </c>
      <c r="N37" s="60">
        <f>INDEX('Financial Model'!379:379,'Acquisition Model'!N6)</f>
        <v>0</v>
      </c>
      <c r="O37" s="60">
        <f>INDEX('Financial Model'!379:379,'Acquisition Model'!O6)</f>
        <v>0</v>
      </c>
    </row>
    <row r="38" spans="1:15" x14ac:dyDescent="0.3">
      <c r="B38" s="1" t="s">
        <v>336</v>
      </c>
      <c r="G38" s="60">
        <f>INDEX('Financial Model'!317:317,'Acquisition Model'!G6)</f>
        <v>199035728.0300006</v>
      </c>
      <c r="H38" s="60">
        <f>INDEX('Financial Model'!317:317,'Acquisition Model'!H6)</f>
        <v>168018831.22252238</v>
      </c>
      <c r="I38" s="60">
        <f>INDEX('Financial Model'!317:317,'Acquisition Model'!I6)</f>
        <v>184820714.34477463</v>
      </c>
      <c r="J38" s="60">
        <f>INDEX('Financial Model'!317:317,'Acquisition Model'!J6)</f>
        <v>203302785.77925211</v>
      </c>
      <c r="K38" s="60">
        <f>INDEX('Financial Model'!317:317,'Acquisition Model'!K6)</f>
        <v>223633064.35717738</v>
      </c>
      <c r="L38" s="60">
        <f>INDEX('Financial Model'!317:317,'Acquisition Model'!L6)</f>
        <v>245996370.79289511</v>
      </c>
      <c r="M38" s="60">
        <f>INDEX('Financial Model'!317:317,'Acquisition Model'!M6)</f>
        <v>270596007.87218463</v>
      </c>
      <c r="N38" s="60">
        <f>INDEX('Financial Model'!317:317,'Acquisition Model'!N6)</f>
        <v>297655608.65940315</v>
      </c>
      <c r="O38" s="60">
        <f>INDEX('Financial Model'!317:317,'Acquisition Model'!O6)</f>
        <v>327421169.52534348</v>
      </c>
    </row>
    <row r="39" spans="1:15" x14ac:dyDescent="0.3">
      <c r="B39" s="1"/>
    </row>
    <row r="40" spans="1:15" x14ac:dyDescent="0.3">
      <c r="A40" s="4" t="s">
        <v>343</v>
      </c>
      <c r="B40" s="1"/>
    </row>
    <row r="41" spans="1:15" x14ac:dyDescent="0.3">
      <c r="B41" s="1" t="s">
        <v>304</v>
      </c>
      <c r="H41" s="74">
        <f>LOOKUP(H2,'Structuring Assumptions'!56:56,'Structuring Assumptions'!63:63)</f>
        <v>-0.12</v>
      </c>
      <c r="I41" s="74">
        <f>LOOKUP(I2,'Structuring Assumptions'!56:56,'Structuring Assumptions'!63:63)</f>
        <v>-0.05</v>
      </c>
      <c r="J41" s="74">
        <f>LOOKUP(J2,'Structuring Assumptions'!56:56,'Structuring Assumptions'!63:63)</f>
        <v>-0.02</v>
      </c>
      <c r="K41" s="74">
        <f>LOOKUP(K2,'Structuring Assumptions'!56:56,'Structuring Assumptions'!63:63)</f>
        <v>-0.02</v>
      </c>
      <c r="L41" s="74">
        <f>LOOKUP(L2,'Structuring Assumptions'!56:56,'Structuring Assumptions'!63:63)</f>
        <v>0.04</v>
      </c>
      <c r="M41" s="74">
        <f>LOOKUP(M2,'Structuring Assumptions'!56:56,'Structuring Assumptions'!63:63)</f>
        <v>0.04</v>
      </c>
      <c r="N41" s="74">
        <f>LOOKUP(N2,'Structuring Assumptions'!56:56,'Structuring Assumptions'!63:63)</f>
        <v>0.04</v>
      </c>
      <c r="O41" s="74">
        <f>LOOKUP(O2,'Structuring Assumptions'!56:56,'Structuring Assumptions'!63:63)</f>
        <v>0.04</v>
      </c>
    </row>
    <row r="42" spans="1:15" x14ac:dyDescent="0.3">
      <c r="B42" s="1" t="s">
        <v>342</v>
      </c>
      <c r="H42" s="58">
        <f>H27*(1+H41)</f>
        <v>1007915791.2769403</v>
      </c>
      <c r="I42" s="58">
        <f t="shared" ref="I42:O42" si="3">I27*(1+I41)</f>
        <v>1199862222.9924881</v>
      </c>
      <c r="J42" s="58">
        <f t="shared" si="3"/>
        <v>1364201131.0125647</v>
      </c>
      <c r="K42" s="58">
        <f t="shared" si="3"/>
        <v>1502959881.3654058</v>
      </c>
      <c r="L42" s="58">
        <f t="shared" si="3"/>
        <v>1756646775.4975402</v>
      </c>
      <c r="M42" s="58">
        <f t="shared" si="3"/>
        <v>1934210838.4015269</v>
      </c>
      <c r="N42" s="58">
        <f t="shared" si="3"/>
        <v>2129293553.1576605</v>
      </c>
      <c r="O42" s="58">
        <f t="shared" si="3"/>
        <v>2343676545.7223315</v>
      </c>
    </row>
    <row r="43" spans="1:15" x14ac:dyDescent="0.3">
      <c r="B43" s="1"/>
    </row>
    <row r="44" spans="1:15" x14ac:dyDescent="0.3">
      <c r="A44" s="4" t="s">
        <v>175</v>
      </c>
    </row>
    <row r="45" spans="1:15" x14ac:dyDescent="0.3">
      <c r="B45" s="1" t="s">
        <v>335</v>
      </c>
    </row>
    <row r="47" spans="1:15" x14ac:dyDescent="0.3">
      <c r="B47" s="1" t="s">
        <v>336</v>
      </c>
      <c r="G47" s="58"/>
      <c r="H47" s="58">
        <f>H38</f>
        <v>168018831.22252238</v>
      </c>
      <c r="I47" s="58">
        <f t="shared" ref="I47:O47" si="4">I38</f>
        <v>184820714.34477463</v>
      </c>
      <c r="J47" s="58">
        <f t="shared" si="4"/>
        <v>203302785.77925211</v>
      </c>
      <c r="K47" s="58">
        <f t="shared" si="4"/>
        <v>223633064.35717738</v>
      </c>
      <c r="L47" s="58">
        <f t="shared" si="4"/>
        <v>245996370.79289511</v>
      </c>
      <c r="M47" s="58">
        <f t="shared" si="4"/>
        <v>270596007.87218463</v>
      </c>
      <c r="N47" s="58">
        <f t="shared" si="4"/>
        <v>297655608.65940315</v>
      </c>
      <c r="O47" s="58">
        <f t="shared" si="4"/>
        <v>327421169.52534348</v>
      </c>
    </row>
    <row r="48" spans="1:15" x14ac:dyDescent="0.3">
      <c r="B48" s="1" t="s">
        <v>338</v>
      </c>
      <c r="G48" s="58"/>
      <c r="H48" s="58">
        <f>H51</f>
        <v>199035728.0300006</v>
      </c>
      <c r="I48" s="58">
        <f t="shared" ref="I48:O48" si="5">I51</f>
        <v>168018831.22252238</v>
      </c>
      <c r="J48" s="58">
        <f t="shared" si="5"/>
        <v>184820714.34477463</v>
      </c>
      <c r="K48" s="58">
        <f t="shared" si="5"/>
        <v>203302785.77925211</v>
      </c>
      <c r="L48" s="58">
        <f t="shared" si="5"/>
        <v>223633064.35717738</v>
      </c>
      <c r="M48" s="58">
        <f t="shared" si="5"/>
        <v>245996370.79289511</v>
      </c>
      <c r="N48" s="58">
        <f t="shared" si="5"/>
        <v>270596007.87218463</v>
      </c>
      <c r="O48" s="58">
        <f t="shared" si="5"/>
        <v>297655608.65940315</v>
      </c>
    </row>
    <row r="49" spans="2:15" x14ac:dyDescent="0.3">
      <c r="B49" s="1" t="s">
        <v>337</v>
      </c>
      <c r="G49" s="58"/>
      <c r="H49" s="58">
        <f>H47-H48</f>
        <v>-31016896.807478219</v>
      </c>
      <c r="I49" s="58">
        <f t="shared" ref="I49:O49" si="6">I47-I48</f>
        <v>16801883.122252256</v>
      </c>
      <c r="J49" s="58">
        <f t="shared" si="6"/>
        <v>18482071.434477478</v>
      </c>
      <c r="K49" s="58">
        <f t="shared" si="6"/>
        <v>20330278.577925265</v>
      </c>
      <c r="L49" s="58">
        <f t="shared" si="6"/>
        <v>22363306.435717732</v>
      </c>
      <c r="M49" s="58">
        <f t="shared" si="6"/>
        <v>24599637.079289526</v>
      </c>
      <c r="N49" s="58">
        <f t="shared" si="6"/>
        <v>27059600.787218511</v>
      </c>
      <c r="O49" s="58">
        <f t="shared" si="6"/>
        <v>29765560.865940332</v>
      </c>
    </row>
    <row r="50" spans="2:15" x14ac:dyDescent="0.3">
      <c r="B50" s="1"/>
      <c r="G50" s="58"/>
      <c r="H50" s="58"/>
      <c r="I50" s="58"/>
      <c r="J50" s="58"/>
      <c r="K50" s="58"/>
      <c r="L50" s="58"/>
      <c r="M50" s="58"/>
      <c r="N50" s="58"/>
      <c r="O50" s="58"/>
    </row>
    <row r="51" spans="2:15" x14ac:dyDescent="0.3">
      <c r="B51" s="1" t="s">
        <v>223</v>
      </c>
      <c r="G51" s="58"/>
      <c r="H51" s="58">
        <f>G53</f>
        <v>199035728.0300006</v>
      </c>
      <c r="I51" s="58">
        <f t="shared" ref="I51:O51" si="7">H53</f>
        <v>168018831.22252238</v>
      </c>
      <c r="J51" s="58">
        <f t="shared" si="7"/>
        <v>184820714.34477463</v>
      </c>
      <c r="K51" s="58">
        <f t="shared" si="7"/>
        <v>203302785.77925211</v>
      </c>
      <c r="L51" s="58">
        <f t="shared" si="7"/>
        <v>223633064.35717738</v>
      </c>
      <c r="M51" s="58">
        <f t="shared" si="7"/>
        <v>245996370.79289511</v>
      </c>
      <c r="N51" s="58">
        <f t="shared" si="7"/>
        <v>270596007.87218463</v>
      </c>
      <c r="O51" s="58">
        <f t="shared" si="7"/>
        <v>297655608.65940315</v>
      </c>
    </row>
    <row r="52" spans="2:15" x14ac:dyDescent="0.3">
      <c r="B52" s="1" t="s">
        <v>339</v>
      </c>
      <c r="G52" s="58"/>
      <c r="H52" s="58">
        <f>H91</f>
        <v>-31016896.807478219</v>
      </c>
      <c r="I52" s="58">
        <f t="shared" ref="I52:O52" si="8">I91</f>
        <v>16801883.122252256</v>
      </c>
      <c r="J52" s="58">
        <f t="shared" si="8"/>
        <v>18482071.434477478</v>
      </c>
      <c r="K52" s="58">
        <f t="shared" si="8"/>
        <v>20330278.577925265</v>
      </c>
      <c r="L52" s="58">
        <f t="shared" si="8"/>
        <v>22363306.435717732</v>
      </c>
      <c r="M52" s="58">
        <f t="shared" si="8"/>
        <v>24599637.079289526</v>
      </c>
      <c r="N52" s="58">
        <f t="shared" si="8"/>
        <v>27059600.787218511</v>
      </c>
      <c r="O52" s="58">
        <f t="shared" si="8"/>
        <v>29765560.865940332</v>
      </c>
    </row>
    <row r="53" spans="2:15" x14ac:dyDescent="0.3">
      <c r="B53" s="1" t="s">
        <v>226</v>
      </c>
      <c r="G53" s="58">
        <f>G10</f>
        <v>199035728.0300006</v>
      </c>
      <c r="H53" s="58">
        <f>H51+H52</f>
        <v>168018831.22252238</v>
      </c>
      <c r="I53" s="58">
        <f t="shared" ref="I53:O53" si="9">I51+I52</f>
        <v>184820714.34477463</v>
      </c>
      <c r="J53" s="58">
        <f t="shared" si="9"/>
        <v>203302785.77925211</v>
      </c>
      <c r="K53" s="58">
        <f t="shared" si="9"/>
        <v>223633064.35717738</v>
      </c>
      <c r="L53" s="58">
        <f t="shared" si="9"/>
        <v>245996370.79289511</v>
      </c>
      <c r="M53" s="58">
        <f t="shared" si="9"/>
        <v>270596007.87218463</v>
      </c>
      <c r="N53" s="58">
        <f t="shared" si="9"/>
        <v>297655608.65940315</v>
      </c>
      <c r="O53" s="58">
        <f t="shared" si="9"/>
        <v>327421169.52534348</v>
      </c>
    </row>
    <row r="54" spans="2:15" x14ac:dyDescent="0.3">
      <c r="G54" s="58"/>
      <c r="H54" s="58"/>
      <c r="I54" s="58"/>
      <c r="J54" s="58"/>
      <c r="K54" s="58"/>
      <c r="L54" s="58"/>
      <c r="M54" s="58"/>
      <c r="N54" s="58"/>
      <c r="O54" s="58"/>
    </row>
    <row r="55" spans="2:15" x14ac:dyDescent="0.3">
      <c r="B55" s="1" t="s">
        <v>228</v>
      </c>
      <c r="E55" s="72">
        <f>'Structuring Assumptions'!E36</f>
        <v>7.0000000000000007E-2</v>
      </c>
      <c r="G55" s="84"/>
      <c r="H55" s="58">
        <f>G53*$E$55</f>
        <v>13932500.962100044</v>
      </c>
      <c r="I55" s="58">
        <f t="shared" ref="I55:O55" si="10">H53*$E$55</f>
        <v>11761318.185576567</v>
      </c>
      <c r="J55" s="58">
        <f t="shared" si="10"/>
        <v>12937450.004134225</v>
      </c>
      <c r="K55" s="58">
        <f t="shared" si="10"/>
        <v>14231195.00454765</v>
      </c>
      <c r="L55" s="58">
        <f t="shared" si="10"/>
        <v>15654314.505002419</v>
      </c>
      <c r="M55" s="58">
        <f t="shared" si="10"/>
        <v>17219745.955502659</v>
      </c>
      <c r="N55" s="58">
        <f t="shared" si="10"/>
        <v>18941720.551052928</v>
      </c>
      <c r="O55" s="58">
        <f t="shared" si="10"/>
        <v>20835892.606158223</v>
      </c>
    </row>
    <row r="56" spans="2:15" x14ac:dyDescent="0.3">
      <c r="G56" s="58"/>
      <c r="H56" s="58"/>
      <c r="I56" s="58"/>
      <c r="J56" s="58"/>
      <c r="K56" s="58"/>
      <c r="L56" s="58"/>
      <c r="M56" s="58"/>
      <c r="N56" s="58"/>
      <c r="O56" s="58"/>
    </row>
    <row r="57" spans="2:15" x14ac:dyDescent="0.3">
      <c r="B57" s="1" t="s">
        <v>229</v>
      </c>
      <c r="G57" s="58"/>
      <c r="H57" s="58"/>
      <c r="I57" s="58"/>
      <c r="J57" s="58"/>
      <c r="K57" s="58"/>
      <c r="L57" s="58"/>
      <c r="M57" s="58"/>
      <c r="N57" s="58"/>
      <c r="O57" s="58"/>
    </row>
    <row r="58" spans="2:15" x14ac:dyDescent="0.3">
      <c r="C58" s="1" t="s">
        <v>223</v>
      </c>
      <c r="G58" s="58"/>
      <c r="H58" s="58">
        <f>G60</f>
        <v>5557440027.0100756</v>
      </c>
      <c r="I58" s="58">
        <f t="shared" ref="I58:O58" si="11">H60</f>
        <v>5677401957.3129721</v>
      </c>
      <c r="J58" s="58">
        <f t="shared" si="11"/>
        <v>5723545981.3975086</v>
      </c>
      <c r="K58" s="58">
        <f t="shared" si="11"/>
        <v>5664810636.8716421</v>
      </c>
      <c r="L58" s="58">
        <f t="shared" si="11"/>
        <v>5559006422.9675274</v>
      </c>
      <c r="M58" s="58">
        <f t="shared" si="11"/>
        <v>0</v>
      </c>
      <c r="N58" s="58">
        <f t="shared" si="11"/>
        <v>0</v>
      </c>
      <c r="O58" s="58">
        <f t="shared" si="11"/>
        <v>0</v>
      </c>
    </row>
    <row r="59" spans="2:15" x14ac:dyDescent="0.3">
      <c r="C59" s="1" t="s">
        <v>341</v>
      </c>
      <c r="G59" s="58"/>
      <c r="H59" s="58">
        <f>H93</f>
        <v>-119961930.30289623</v>
      </c>
      <c r="I59" s="58">
        <f t="shared" ref="I59:O59" si="12">I93</f>
        <v>-46144024.084536932</v>
      </c>
      <c r="J59" s="58">
        <f t="shared" si="12"/>
        <v>58735344.525866047</v>
      </c>
      <c r="K59" s="58">
        <f t="shared" si="12"/>
        <v>105804213.90411448</v>
      </c>
      <c r="L59" s="58">
        <f t="shared" si="12"/>
        <v>5559006422.9675274</v>
      </c>
      <c r="M59" s="58">
        <f t="shared" si="12"/>
        <v>0</v>
      </c>
      <c r="N59" s="58">
        <f t="shared" si="12"/>
        <v>0</v>
      </c>
      <c r="O59" s="58">
        <f t="shared" si="12"/>
        <v>0</v>
      </c>
    </row>
    <row r="60" spans="2:15" x14ac:dyDescent="0.3">
      <c r="C60" s="1" t="s">
        <v>226</v>
      </c>
      <c r="G60" s="58">
        <f>G21</f>
        <v>5557440027.0100756</v>
      </c>
      <c r="H60" s="58">
        <f>H58-H59</f>
        <v>5677401957.3129721</v>
      </c>
      <c r="I60" s="58">
        <f t="shared" ref="I60:O60" si="13">I58-I59</f>
        <v>5723545981.3975086</v>
      </c>
      <c r="J60" s="58">
        <f t="shared" si="13"/>
        <v>5664810636.8716421</v>
      </c>
      <c r="K60" s="58">
        <f t="shared" si="13"/>
        <v>5559006422.9675274</v>
      </c>
      <c r="L60" s="58">
        <f t="shared" si="13"/>
        <v>0</v>
      </c>
      <c r="M60" s="58">
        <f t="shared" si="13"/>
        <v>0</v>
      </c>
      <c r="N60" s="58">
        <f t="shared" si="13"/>
        <v>0</v>
      </c>
      <c r="O60" s="58">
        <f t="shared" si="13"/>
        <v>0</v>
      </c>
    </row>
    <row r="61" spans="2:15" x14ac:dyDescent="0.3">
      <c r="C61" s="1" t="s">
        <v>230</v>
      </c>
      <c r="E61" s="72">
        <f>'Structuring Assumptions'!E29</f>
        <v>0.15</v>
      </c>
      <c r="G61" s="58"/>
      <c r="H61" s="58">
        <f>$E$61*H58</f>
        <v>833616004.05151129</v>
      </c>
      <c r="I61" s="58">
        <f t="shared" ref="I61:O61" si="14">$E$61*I58</f>
        <v>851610293.59694576</v>
      </c>
      <c r="J61" s="58">
        <f t="shared" si="14"/>
        <v>858531897.20962632</v>
      </c>
      <c r="K61" s="58">
        <f t="shared" si="14"/>
        <v>849721595.53074634</v>
      </c>
      <c r="L61" s="58">
        <f t="shared" si="14"/>
        <v>833850963.44512904</v>
      </c>
      <c r="M61" s="58">
        <f t="shared" si="14"/>
        <v>0</v>
      </c>
      <c r="N61" s="58">
        <f t="shared" si="14"/>
        <v>0</v>
      </c>
      <c r="O61" s="58">
        <f t="shared" si="14"/>
        <v>0</v>
      </c>
    </row>
    <row r="62" spans="2:15" x14ac:dyDescent="0.3">
      <c r="C62" s="1"/>
      <c r="G62" s="58"/>
      <c r="H62" s="58"/>
      <c r="I62" s="58"/>
      <c r="J62" s="58"/>
      <c r="K62" s="58"/>
      <c r="L62" s="58"/>
      <c r="M62" s="58"/>
      <c r="N62" s="58"/>
      <c r="O62" s="58"/>
    </row>
    <row r="63" spans="2:15" x14ac:dyDescent="0.3">
      <c r="B63" s="1" t="s">
        <v>345</v>
      </c>
      <c r="C63" s="1"/>
      <c r="G63" s="58"/>
      <c r="H63" s="58"/>
      <c r="I63" s="58"/>
      <c r="J63" s="58"/>
      <c r="K63" s="58"/>
      <c r="L63" s="58"/>
      <c r="M63" s="58"/>
      <c r="N63" s="58"/>
      <c r="O63" s="58"/>
    </row>
    <row r="64" spans="2:15" x14ac:dyDescent="0.3">
      <c r="C64" s="1" t="s">
        <v>346</v>
      </c>
      <c r="G64" s="58">
        <f>G15</f>
        <v>111148800.54020151</v>
      </c>
      <c r="H64" s="58">
        <f>G64</f>
        <v>111148800.54020151</v>
      </c>
      <c r="I64" s="58">
        <f t="shared" ref="I64:O64" si="15">H64</f>
        <v>111148800.54020151</v>
      </c>
      <c r="J64" s="58">
        <f t="shared" si="15"/>
        <v>111148800.54020151</v>
      </c>
      <c r="K64" s="58">
        <f t="shared" si="15"/>
        <v>111148800.54020151</v>
      </c>
      <c r="L64" s="58">
        <f t="shared" si="15"/>
        <v>111148800.54020151</v>
      </c>
      <c r="M64" s="58">
        <f t="shared" si="15"/>
        <v>111148800.54020151</v>
      </c>
      <c r="N64" s="58">
        <f t="shared" si="15"/>
        <v>111148800.54020151</v>
      </c>
      <c r="O64" s="58">
        <f t="shared" si="15"/>
        <v>111148800.54020151</v>
      </c>
    </row>
    <row r="65" spans="1:15" x14ac:dyDescent="0.3">
      <c r="C65" s="1" t="s">
        <v>347</v>
      </c>
      <c r="E65" s="71">
        <f>'Structuring Assumptions'!E20</f>
        <v>5</v>
      </c>
      <c r="G65" s="58"/>
      <c r="H65" s="58">
        <f>MIN(H64/$E$65,G66)</f>
        <v>22229760.108040303</v>
      </c>
      <c r="I65" s="58">
        <f t="shared" ref="I65:O65" si="16">MIN(I64/$E$65,H66)</f>
        <v>22229760.108040303</v>
      </c>
      <c r="J65" s="58">
        <f t="shared" si="16"/>
        <v>22229760.108040303</v>
      </c>
      <c r="K65" s="58">
        <f t="shared" si="16"/>
        <v>22229760.108040303</v>
      </c>
      <c r="L65" s="58">
        <f t="shared" si="16"/>
        <v>22229760.108040303</v>
      </c>
      <c r="M65" s="58">
        <f t="shared" si="16"/>
        <v>0</v>
      </c>
      <c r="N65" s="58">
        <f t="shared" si="16"/>
        <v>0</v>
      </c>
      <c r="O65" s="58">
        <f t="shared" si="16"/>
        <v>0</v>
      </c>
    </row>
    <row r="66" spans="1:15" x14ac:dyDescent="0.3">
      <c r="C66" s="1" t="s">
        <v>348</v>
      </c>
      <c r="G66" s="58">
        <f>G64</f>
        <v>111148800.54020151</v>
      </c>
      <c r="H66" s="58">
        <f>G66-H65</f>
        <v>88919040.432161212</v>
      </c>
      <c r="I66" s="58">
        <f t="shared" ref="I66:O66" si="17">H66-I65</f>
        <v>66689280.324120909</v>
      </c>
      <c r="J66" s="58">
        <f t="shared" si="17"/>
        <v>44459520.216080606</v>
      </c>
      <c r="K66" s="58">
        <f t="shared" si="17"/>
        <v>22229760.108040303</v>
      </c>
      <c r="L66" s="58">
        <f t="shared" si="17"/>
        <v>0</v>
      </c>
      <c r="M66" s="58">
        <f t="shared" si="17"/>
        <v>0</v>
      </c>
      <c r="N66" s="58">
        <f t="shared" si="17"/>
        <v>0</v>
      </c>
      <c r="O66" s="58">
        <f t="shared" si="17"/>
        <v>0</v>
      </c>
    </row>
    <row r="67" spans="1:15" x14ac:dyDescent="0.3">
      <c r="C67" s="1"/>
      <c r="H67" s="58"/>
      <c r="I67" s="58"/>
      <c r="J67" s="58"/>
      <c r="K67" s="58"/>
      <c r="L67" s="58"/>
      <c r="M67" s="58"/>
      <c r="N67" s="58"/>
      <c r="O67" s="58"/>
    </row>
    <row r="68" spans="1:15" x14ac:dyDescent="0.3">
      <c r="A68" s="4" t="s">
        <v>234</v>
      </c>
      <c r="H68" s="58"/>
      <c r="I68" s="58"/>
      <c r="J68" s="58"/>
      <c r="K68" s="58"/>
      <c r="L68" s="58"/>
      <c r="M68" s="58"/>
      <c r="N68" s="58"/>
      <c r="O68" s="58"/>
    </row>
    <row r="69" spans="1:15" x14ac:dyDescent="0.3">
      <c r="B69" s="1" t="s">
        <v>222</v>
      </c>
      <c r="H69" s="58">
        <f>H42</f>
        <v>1007915791.2769403</v>
      </c>
      <c r="I69" s="58">
        <f t="shared" ref="I69:O69" si="18">I42</f>
        <v>1199862222.9924881</v>
      </c>
      <c r="J69" s="58">
        <f t="shared" si="18"/>
        <v>1364201131.0125647</v>
      </c>
      <c r="K69" s="58">
        <f t="shared" si="18"/>
        <v>1502959881.3654058</v>
      </c>
      <c r="L69" s="58">
        <f t="shared" si="18"/>
        <v>1756646775.4975402</v>
      </c>
      <c r="M69" s="58">
        <f t="shared" si="18"/>
        <v>1934210838.4015269</v>
      </c>
      <c r="N69" s="58">
        <f t="shared" si="18"/>
        <v>2129293553.1576605</v>
      </c>
      <c r="O69" s="58">
        <f t="shared" si="18"/>
        <v>2343676545.7223315</v>
      </c>
    </row>
    <row r="70" spans="1:15" x14ac:dyDescent="0.3">
      <c r="B70" s="1" t="s">
        <v>225</v>
      </c>
      <c r="H70" s="58">
        <f>H30</f>
        <v>134234379.91005492</v>
      </c>
      <c r="I70" s="58">
        <f t="shared" ref="I70:O70" si="19">I30</f>
        <v>140606907.32960227</v>
      </c>
      <c r="J70" s="58">
        <f t="shared" si="19"/>
        <v>148499281.05136582</v>
      </c>
      <c r="K70" s="58">
        <f t="shared" si="19"/>
        <v>157953007.57870397</v>
      </c>
      <c r="L70" s="58">
        <f t="shared" si="19"/>
        <v>169027573.09949467</v>
      </c>
      <c r="M70" s="58">
        <f t="shared" si="19"/>
        <v>181800510.41341314</v>
      </c>
      <c r="N70" s="58">
        <f t="shared" si="19"/>
        <v>196367689.23399249</v>
      </c>
      <c r="O70" s="58">
        <f t="shared" si="19"/>
        <v>212843825.07989722</v>
      </c>
    </row>
    <row r="71" spans="1:15" x14ac:dyDescent="0.3">
      <c r="B71" s="1" t="s">
        <v>344</v>
      </c>
      <c r="H71" s="58">
        <f>H65</f>
        <v>22229760.108040303</v>
      </c>
      <c r="I71" s="58">
        <f t="shared" ref="I71:O71" si="20">I65</f>
        <v>22229760.108040303</v>
      </c>
      <c r="J71" s="58">
        <f t="shared" si="20"/>
        <v>22229760.108040303</v>
      </c>
      <c r="K71" s="58">
        <f t="shared" si="20"/>
        <v>22229760.108040303</v>
      </c>
      <c r="L71" s="58">
        <f t="shared" si="20"/>
        <v>22229760.108040303</v>
      </c>
      <c r="M71" s="58">
        <f t="shared" si="20"/>
        <v>0</v>
      </c>
      <c r="N71" s="58">
        <f t="shared" si="20"/>
        <v>0</v>
      </c>
      <c r="O71" s="58">
        <f t="shared" si="20"/>
        <v>0</v>
      </c>
    </row>
    <row r="72" spans="1:15" x14ac:dyDescent="0.3">
      <c r="C72" s="78" t="s">
        <v>349</v>
      </c>
      <c r="D72" s="79"/>
      <c r="E72" s="79"/>
      <c r="F72" s="79"/>
      <c r="G72" s="79"/>
      <c r="H72" s="80">
        <f>H69-H70-H71</f>
        <v>851451651.25884509</v>
      </c>
      <c r="I72" s="80">
        <f t="shared" ref="I72:O72" si="21">I69-I70-I71</f>
        <v>1037025555.5548456</v>
      </c>
      <c r="J72" s="80">
        <f t="shared" si="21"/>
        <v>1193472089.8531585</v>
      </c>
      <c r="K72" s="80">
        <f t="shared" si="21"/>
        <v>1322777113.6786616</v>
      </c>
      <c r="L72" s="80">
        <f t="shared" si="21"/>
        <v>1565389442.2900052</v>
      </c>
      <c r="M72" s="80">
        <f t="shared" si="21"/>
        <v>1752410327.9881139</v>
      </c>
      <c r="N72" s="80">
        <f t="shared" si="21"/>
        <v>1932925863.9236679</v>
      </c>
      <c r="O72" s="80">
        <f t="shared" si="21"/>
        <v>2130832720.6424344</v>
      </c>
    </row>
    <row r="73" spans="1:15" x14ac:dyDescent="0.3">
      <c r="B73" s="1" t="s">
        <v>246</v>
      </c>
      <c r="H73" s="58">
        <f>H61</f>
        <v>833616004.05151129</v>
      </c>
      <c r="I73" s="58">
        <f t="shared" ref="I73:O73" si="22">I61</f>
        <v>851610293.59694576</v>
      </c>
      <c r="J73" s="58">
        <f t="shared" si="22"/>
        <v>858531897.20962632</v>
      </c>
      <c r="K73" s="58">
        <f t="shared" si="22"/>
        <v>849721595.53074634</v>
      </c>
      <c r="L73" s="58">
        <f t="shared" si="22"/>
        <v>833850963.44512904</v>
      </c>
      <c r="M73" s="58">
        <f t="shared" si="22"/>
        <v>0</v>
      </c>
      <c r="N73" s="58">
        <f t="shared" si="22"/>
        <v>0</v>
      </c>
      <c r="O73" s="58">
        <f t="shared" si="22"/>
        <v>0</v>
      </c>
    </row>
    <row r="74" spans="1:15" x14ac:dyDescent="0.3">
      <c r="B74" s="1" t="s">
        <v>247</v>
      </c>
      <c r="H74" s="58">
        <f>H55</f>
        <v>13932500.962100044</v>
      </c>
      <c r="I74" s="58">
        <f t="shared" ref="I74:O74" si="23">I55</f>
        <v>11761318.185576567</v>
      </c>
      <c r="J74" s="58">
        <f t="shared" si="23"/>
        <v>12937450.004134225</v>
      </c>
      <c r="K74" s="58">
        <f t="shared" si="23"/>
        <v>14231195.00454765</v>
      </c>
      <c r="L74" s="58">
        <f t="shared" si="23"/>
        <v>15654314.505002419</v>
      </c>
      <c r="M74" s="58">
        <f t="shared" si="23"/>
        <v>17219745.955502659</v>
      </c>
      <c r="N74" s="58">
        <f t="shared" si="23"/>
        <v>18941720.551052928</v>
      </c>
      <c r="O74" s="58">
        <f t="shared" si="23"/>
        <v>20835892.606158223</v>
      </c>
    </row>
    <row r="75" spans="1:15" x14ac:dyDescent="0.3">
      <c r="C75" s="78" t="s">
        <v>238</v>
      </c>
      <c r="D75" s="79"/>
      <c r="E75" s="79"/>
      <c r="F75" s="79"/>
      <c r="G75" s="79"/>
      <c r="H75" s="80">
        <f>H72-H73+H74</f>
        <v>31768148.169433847</v>
      </c>
      <c r="I75" s="80">
        <f t="shared" ref="I75:O75" si="24">I72-I73+I74</f>
        <v>197176580.14347637</v>
      </c>
      <c r="J75" s="80">
        <f t="shared" si="24"/>
        <v>347877642.64766639</v>
      </c>
      <c r="K75" s="80">
        <f t="shared" si="24"/>
        <v>487286713.1524629</v>
      </c>
      <c r="L75" s="80">
        <f t="shared" si="24"/>
        <v>747192793.34987855</v>
      </c>
      <c r="M75" s="80">
        <f t="shared" si="24"/>
        <v>1769630073.9436166</v>
      </c>
      <c r="N75" s="80">
        <f t="shared" si="24"/>
        <v>1951867584.474721</v>
      </c>
      <c r="O75" s="80">
        <f t="shared" si="24"/>
        <v>2151668613.2485924</v>
      </c>
    </row>
    <row r="76" spans="1:15" x14ac:dyDescent="0.3">
      <c r="B76" s="1" t="s">
        <v>350</v>
      </c>
      <c r="H76" s="58">
        <f>H75*H31</f>
        <v>3176814.8169433847</v>
      </c>
      <c r="I76" s="58">
        <f t="shared" ref="I76:O76" si="25">I75*I31</f>
        <v>19717658.014347639</v>
      </c>
      <c r="J76" s="58">
        <f t="shared" si="25"/>
        <v>34787764.264766641</v>
      </c>
      <c r="K76" s="58">
        <f t="shared" si="25"/>
        <v>48728671.315246291</v>
      </c>
      <c r="L76" s="58">
        <f t="shared" si="25"/>
        <v>74719279.334987864</v>
      </c>
      <c r="M76" s="58">
        <f t="shared" si="25"/>
        <v>176963007.39436167</v>
      </c>
      <c r="N76" s="58">
        <f t="shared" si="25"/>
        <v>195186758.4474721</v>
      </c>
      <c r="O76" s="58">
        <f t="shared" si="25"/>
        <v>215166861.32485926</v>
      </c>
    </row>
    <row r="77" spans="1:15" ht="13.5" thickBot="1" x14ac:dyDescent="0.35">
      <c r="C77" s="48" t="s">
        <v>240</v>
      </c>
      <c r="D77" s="70"/>
      <c r="E77" s="70"/>
      <c r="F77" s="70"/>
      <c r="G77" s="70"/>
      <c r="H77" s="81">
        <f>H75-H76</f>
        <v>28591333.352490462</v>
      </c>
      <c r="I77" s="81">
        <f t="shared" ref="I77:O77" si="26">I75-I76</f>
        <v>177458922.12912872</v>
      </c>
      <c r="J77" s="81">
        <f t="shared" si="26"/>
        <v>313089878.38289976</v>
      </c>
      <c r="K77" s="81">
        <f t="shared" si="26"/>
        <v>438558041.83721662</v>
      </c>
      <c r="L77" s="81">
        <f t="shared" si="26"/>
        <v>672473514.01489067</v>
      </c>
      <c r="M77" s="81">
        <f t="shared" si="26"/>
        <v>1592667066.5492549</v>
      </c>
      <c r="N77" s="81">
        <f t="shared" si="26"/>
        <v>1756680826.0272489</v>
      </c>
      <c r="O77" s="81">
        <f t="shared" si="26"/>
        <v>1936501751.9237332</v>
      </c>
    </row>
    <row r="78" spans="1:15" ht="13.5" thickTop="1" x14ac:dyDescent="0.3">
      <c r="H78" s="58"/>
      <c r="I78" s="58"/>
      <c r="J78" s="58"/>
      <c r="K78" s="58"/>
      <c r="L78" s="58"/>
      <c r="M78" s="58"/>
      <c r="N78" s="58"/>
      <c r="O78" s="58"/>
    </row>
    <row r="79" spans="1:15" x14ac:dyDescent="0.3">
      <c r="A79" s="4" t="s">
        <v>242</v>
      </c>
      <c r="H79" s="58"/>
      <c r="I79" s="58"/>
      <c r="J79" s="58"/>
      <c r="K79" s="58"/>
      <c r="L79" s="58"/>
      <c r="M79" s="58"/>
      <c r="N79" s="58"/>
      <c r="O79" s="58"/>
    </row>
    <row r="80" spans="1:15" x14ac:dyDescent="0.3">
      <c r="B80" s="1" t="s">
        <v>355</v>
      </c>
      <c r="H80" s="58">
        <f>H128</f>
        <v>1</v>
      </c>
      <c r="I80" s="58">
        <f t="shared" ref="I80:O80" si="27">I128</f>
        <v>1</v>
      </c>
      <c r="J80" s="58">
        <f t="shared" si="27"/>
        <v>1</v>
      </c>
      <c r="K80" s="58">
        <f t="shared" si="27"/>
        <v>0.7</v>
      </c>
      <c r="L80" s="58">
        <f t="shared" si="27"/>
        <v>0.7</v>
      </c>
      <c r="M80" s="58">
        <f t="shared" si="27"/>
        <v>0</v>
      </c>
      <c r="N80" s="58">
        <f t="shared" si="27"/>
        <v>0</v>
      </c>
      <c r="O80" s="58">
        <f t="shared" si="27"/>
        <v>0</v>
      </c>
    </row>
    <row r="81" spans="1:15" x14ac:dyDescent="0.3">
      <c r="H81" s="58"/>
      <c r="I81" s="58"/>
      <c r="J81" s="58"/>
      <c r="K81" s="58"/>
      <c r="L81" s="58"/>
      <c r="M81" s="58"/>
      <c r="N81" s="58"/>
      <c r="O81" s="58"/>
    </row>
    <row r="82" spans="1:15" x14ac:dyDescent="0.3">
      <c r="B82" s="1" t="s">
        <v>222</v>
      </c>
      <c r="H82" s="58">
        <f>H69</f>
        <v>1007915791.2769403</v>
      </c>
      <c r="I82" s="58">
        <f t="shared" ref="I82:O82" si="28">I69</f>
        <v>1199862222.9924881</v>
      </c>
      <c r="J82" s="58">
        <f t="shared" si="28"/>
        <v>1364201131.0125647</v>
      </c>
      <c r="K82" s="58">
        <f t="shared" si="28"/>
        <v>1502959881.3654058</v>
      </c>
      <c r="L82" s="58">
        <f t="shared" si="28"/>
        <v>1756646775.4975402</v>
      </c>
      <c r="M82" s="58">
        <f t="shared" si="28"/>
        <v>1934210838.4015269</v>
      </c>
      <c r="N82" s="58">
        <f t="shared" si="28"/>
        <v>2129293553.1576605</v>
      </c>
      <c r="O82" s="58">
        <f t="shared" si="28"/>
        <v>2343676545.7223315</v>
      </c>
    </row>
    <row r="83" spans="1:15" x14ac:dyDescent="0.3">
      <c r="B83" s="1" t="s">
        <v>239</v>
      </c>
      <c r="H83" s="58">
        <f>H76</f>
        <v>3176814.8169433847</v>
      </c>
      <c r="I83" s="58">
        <f t="shared" ref="I83:O83" si="29">I76</f>
        <v>19717658.014347639</v>
      </c>
      <c r="J83" s="58">
        <f t="shared" si="29"/>
        <v>34787764.264766641</v>
      </c>
      <c r="K83" s="58">
        <f t="shared" si="29"/>
        <v>48728671.315246291</v>
      </c>
      <c r="L83" s="58">
        <f t="shared" si="29"/>
        <v>74719279.334987864</v>
      </c>
      <c r="M83" s="58">
        <f t="shared" si="29"/>
        <v>176963007.39436167</v>
      </c>
      <c r="N83" s="58">
        <f t="shared" si="29"/>
        <v>195186758.4474721</v>
      </c>
      <c r="O83" s="58">
        <f t="shared" si="29"/>
        <v>215166861.32485926</v>
      </c>
    </row>
    <row r="84" spans="1:15" x14ac:dyDescent="0.3">
      <c r="B84" s="1" t="s">
        <v>244</v>
      </c>
      <c r="H84" s="58">
        <f>H29</f>
        <v>185143567.30100006</v>
      </c>
      <c r="I84" s="58">
        <f t="shared" ref="I84:O84" si="30">I29</f>
        <v>203657924.03110006</v>
      </c>
      <c r="J84" s="58">
        <f t="shared" si="30"/>
        <v>224023716.43421009</v>
      </c>
      <c r="K84" s="58">
        <f t="shared" si="30"/>
        <v>246426088.07763115</v>
      </c>
      <c r="L84" s="58">
        <f t="shared" si="30"/>
        <v>271068696.88539428</v>
      </c>
      <c r="M84" s="58">
        <f t="shared" si="30"/>
        <v>298175566.57393372</v>
      </c>
      <c r="N84" s="58">
        <f t="shared" si="30"/>
        <v>327993123.23132718</v>
      </c>
      <c r="O84" s="58">
        <f t="shared" si="30"/>
        <v>360792435.55445987</v>
      </c>
    </row>
    <row r="85" spans="1:15" x14ac:dyDescent="0.3">
      <c r="B85" s="1" t="s">
        <v>243</v>
      </c>
      <c r="H85" s="58">
        <f>H28</f>
        <v>150890733.17996001</v>
      </c>
      <c r="I85" s="58">
        <f t="shared" ref="I85:O85" si="31">I28</f>
        <v>165979806.49795604</v>
      </c>
      <c r="J85" s="58">
        <f t="shared" si="31"/>
        <v>182577787.14775229</v>
      </c>
      <c r="K85" s="58">
        <f t="shared" si="31"/>
        <v>200835565.86252642</v>
      </c>
      <c r="L85" s="58">
        <f t="shared" si="31"/>
        <v>220919122.44878006</v>
      </c>
      <c r="M85" s="58">
        <f t="shared" si="31"/>
        <v>243011034.6936574</v>
      </c>
      <c r="N85" s="58">
        <f t="shared" si="31"/>
        <v>267312138.16302443</v>
      </c>
      <c r="O85" s="58">
        <f t="shared" si="31"/>
        <v>294043351.97932625</v>
      </c>
    </row>
    <row r="86" spans="1:15" x14ac:dyDescent="0.3">
      <c r="B86" s="1" t="s">
        <v>351</v>
      </c>
      <c r="E86" s="71">
        <f>'Structuring Assumptions'!E19</f>
        <v>6</v>
      </c>
      <c r="H86" s="58">
        <f>$E$86*H5*H82</f>
        <v>0</v>
      </c>
      <c r="I86" s="58">
        <f t="shared" ref="I86:O86" si="32">$E$86*I5*I82</f>
        <v>0</v>
      </c>
      <c r="J86" s="58">
        <f t="shared" si="32"/>
        <v>0</v>
      </c>
      <c r="K86" s="58">
        <f t="shared" si="32"/>
        <v>0</v>
      </c>
      <c r="L86" s="58">
        <f t="shared" si="32"/>
        <v>10539880652.985241</v>
      </c>
      <c r="M86" s="58">
        <f t="shared" si="32"/>
        <v>0</v>
      </c>
      <c r="N86" s="58">
        <f t="shared" si="32"/>
        <v>0</v>
      </c>
      <c r="O86" s="58">
        <f t="shared" si="32"/>
        <v>0</v>
      </c>
    </row>
    <row r="87" spans="1:15" ht="13.5" thickBot="1" x14ac:dyDescent="0.35">
      <c r="C87" s="14" t="s">
        <v>245</v>
      </c>
      <c r="D87" s="82"/>
      <c r="E87" s="82"/>
      <c r="F87" s="82"/>
      <c r="G87" s="82"/>
      <c r="H87" s="83">
        <f>H82-H83-H84-H85+H86</f>
        <v>668704675.97903681</v>
      </c>
      <c r="I87" s="83">
        <f t="shared" ref="I87:O87" si="33">I82-I83-I84-I85+I86</f>
        <v>810506834.44908452</v>
      </c>
      <c r="J87" s="83">
        <f t="shared" si="33"/>
        <v>922811863.16583562</v>
      </c>
      <c r="K87" s="83">
        <f t="shared" si="33"/>
        <v>1006969556.1100018</v>
      </c>
      <c r="L87" s="83">
        <f t="shared" si="33"/>
        <v>11729820329.81362</v>
      </c>
      <c r="M87" s="83">
        <f t="shared" si="33"/>
        <v>1216061229.739574</v>
      </c>
      <c r="N87" s="83">
        <f t="shared" si="33"/>
        <v>1338801533.3158369</v>
      </c>
      <c r="O87" s="83">
        <f t="shared" si="33"/>
        <v>1473673896.8636863</v>
      </c>
    </row>
    <row r="88" spans="1:15" x14ac:dyDescent="0.3">
      <c r="B88" s="1" t="s">
        <v>246</v>
      </c>
      <c r="H88" s="58">
        <f>H73</f>
        <v>833616004.05151129</v>
      </c>
      <c r="I88" s="58">
        <f t="shared" ref="I88:O88" si="34">I73</f>
        <v>851610293.59694576</v>
      </c>
      <c r="J88" s="58">
        <f t="shared" si="34"/>
        <v>858531897.20962632</v>
      </c>
      <c r="K88" s="58">
        <f t="shared" si="34"/>
        <v>849721595.53074634</v>
      </c>
      <c r="L88" s="58">
        <f t="shared" si="34"/>
        <v>833850963.44512904</v>
      </c>
      <c r="M88" s="58">
        <f t="shared" si="34"/>
        <v>0</v>
      </c>
      <c r="N88" s="58">
        <f t="shared" si="34"/>
        <v>0</v>
      </c>
      <c r="O88" s="58">
        <f t="shared" si="34"/>
        <v>0</v>
      </c>
    </row>
    <row r="89" spans="1:15" x14ac:dyDescent="0.3">
      <c r="B89" s="1" t="s">
        <v>247</v>
      </c>
      <c r="H89" s="58">
        <f>H74</f>
        <v>13932500.962100044</v>
      </c>
      <c r="I89" s="58">
        <f t="shared" ref="I89:O89" si="35">I74</f>
        <v>11761318.185576567</v>
      </c>
      <c r="J89" s="58">
        <f t="shared" si="35"/>
        <v>12937450.004134225</v>
      </c>
      <c r="K89" s="58">
        <f t="shared" si="35"/>
        <v>14231195.00454765</v>
      </c>
      <c r="L89" s="58">
        <f t="shared" si="35"/>
        <v>15654314.505002419</v>
      </c>
      <c r="M89" s="58">
        <f t="shared" si="35"/>
        <v>17219745.955502659</v>
      </c>
      <c r="N89" s="58">
        <f t="shared" si="35"/>
        <v>18941720.551052928</v>
      </c>
      <c r="O89" s="58">
        <f t="shared" si="35"/>
        <v>20835892.606158223</v>
      </c>
    </row>
    <row r="90" spans="1:15" ht="13.5" thickBot="1" x14ac:dyDescent="0.35">
      <c r="C90" s="14" t="s">
        <v>248</v>
      </c>
      <c r="D90" s="82"/>
      <c r="E90" s="82"/>
      <c r="F90" s="82"/>
      <c r="G90" s="82"/>
      <c r="H90" s="83">
        <f>H87-H88+H89</f>
        <v>-150978827.11037445</v>
      </c>
      <c r="I90" s="83">
        <f t="shared" ref="I90:O90" si="36">I87-I88+I89</f>
        <v>-29342140.962284677</v>
      </c>
      <c r="J90" s="83">
        <f t="shared" si="36"/>
        <v>77217415.960343525</v>
      </c>
      <c r="K90" s="83">
        <f t="shared" si="36"/>
        <v>171479155.58380312</v>
      </c>
      <c r="L90" s="83">
        <f t="shared" si="36"/>
        <v>10911623680.873493</v>
      </c>
      <c r="M90" s="83">
        <f t="shared" si="36"/>
        <v>1233280975.6950767</v>
      </c>
      <c r="N90" s="83">
        <f t="shared" si="36"/>
        <v>1357743253.86689</v>
      </c>
      <c r="O90" s="83">
        <f t="shared" si="36"/>
        <v>1494509789.4698446</v>
      </c>
    </row>
    <row r="91" spans="1:15" x14ac:dyDescent="0.3">
      <c r="B91" s="1" t="s">
        <v>352</v>
      </c>
      <c r="H91" s="58">
        <f>H49</f>
        <v>-31016896.807478219</v>
      </c>
      <c r="I91" s="58">
        <f t="shared" ref="I91:O91" si="37">I49</f>
        <v>16801883.122252256</v>
      </c>
      <c r="J91" s="58">
        <f t="shared" si="37"/>
        <v>18482071.434477478</v>
      </c>
      <c r="K91" s="58">
        <f t="shared" si="37"/>
        <v>20330278.577925265</v>
      </c>
      <c r="L91" s="58">
        <f t="shared" si="37"/>
        <v>22363306.435717732</v>
      </c>
      <c r="M91" s="58">
        <f t="shared" si="37"/>
        <v>24599637.079289526</v>
      </c>
      <c r="N91" s="58">
        <f t="shared" si="37"/>
        <v>27059600.787218511</v>
      </c>
      <c r="O91" s="58">
        <f t="shared" si="37"/>
        <v>29765560.865940332</v>
      </c>
    </row>
    <row r="92" spans="1:15" ht="13.5" thickBot="1" x14ac:dyDescent="0.35">
      <c r="C92" s="14" t="s">
        <v>353</v>
      </c>
      <c r="D92" s="82"/>
      <c r="E92" s="82"/>
      <c r="F92" s="82"/>
      <c r="G92" s="82"/>
      <c r="H92" s="83">
        <f>H90-H91</f>
        <v>-119961930.30289623</v>
      </c>
      <c r="I92" s="83">
        <f t="shared" ref="I92:O92" si="38">I90-I91</f>
        <v>-46144024.084536932</v>
      </c>
      <c r="J92" s="83">
        <f t="shared" si="38"/>
        <v>58735344.525866047</v>
      </c>
      <c r="K92" s="83">
        <f t="shared" si="38"/>
        <v>151148877.00587785</v>
      </c>
      <c r="L92" s="83">
        <f t="shared" si="38"/>
        <v>10889260374.437775</v>
      </c>
      <c r="M92" s="83">
        <f t="shared" si="38"/>
        <v>1208681338.6157873</v>
      </c>
      <c r="N92" s="83">
        <f t="shared" si="38"/>
        <v>1330683653.0796714</v>
      </c>
      <c r="O92" s="83">
        <f t="shared" si="38"/>
        <v>1464744228.6039042</v>
      </c>
    </row>
    <row r="93" spans="1:15" x14ac:dyDescent="0.3">
      <c r="B93" s="1" t="s">
        <v>354</v>
      </c>
      <c r="H93" s="58">
        <f>MIN(H92*H80,H58)</f>
        <v>-119961930.30289623</v>
      </c>
      <c r="I93" s="58">
        <f t="shared" ref="I93:O93" si="39">MIN(I92*I80,I58)</f>
        <v>-46144024.084536932</v>
      </c>
      <c r="J93" s="58">
        <f t="shared" si="39"/>
        <v>58735344.525866047</v>
      </c>
      <c r="K93" s="58">
        <f t="shared" si="39"/>
        <v>105804213.90411448</v>
      </c>
      <c r="L93" s="58">
        <f t="shared" si="39"/>
        <v>5559006422.9675274</v>
      </c>
      <c r="M93" s="58">
        <f t="shared" si="39"/>
        <v>0</v>
      </c>
      <c r="N93" s="58">
        <f t="shared" si="39"/>
        <v>0</v>
      </c>
      <c r="O93" s="58">
        <f t="shared" si="39"/>
        <v>0</v>
      </c>
    </row>
    <row r="94" spans="1:15" ht="13.5" thickBot="1" x14ac:dyDescent="0.35">
      <c r="C94" s="48" t="s">
        <v>356</v>
      </c>
      <c r="D94" s="70"/>
      <c r="E94" s="70"/>
      <c r="F94" s="70"/>
      <c r="G94" s="70"/>
      <c r="H94" s="81">
        <f>H92-H93</f>
        <v>0</v>
      </c>
      <c r="I94" s="81">
        <f t="shared" ref="I94:O94" si="40">I92-I93</f>
        <v>0</v>
      </c>
      <c r="J94" s="81">
        <f t="shared" si="40"/>
        <v>0</v>
      </c>
      <c r="K94" s="81">
        <f t="shared" si="40"/>
        <v>45344663.101763368</v>
      </c>
      <c r="L94" s="81">
        <f t="shared" si="40"/>
        <v>5330253951.4702473</v>
      </c>
      <c r="M94" s="81">
        <f t="shared" si="40"/>
        <v>1208681338.6157873</v>
      </c>
      <c r="N94" s="81">
        <f t="shared" si="40"/>
        <v>1330683653.0796714</v>
      </c>
      <c r="O94" s="81">
        <f t="shared" si="40"/>
        <v>1464744228.6039042</v>
      </c>
    </row>
    <row r="95" spans="1:15" ht="13.5" thickTop="1" x14ac:dyDescent="0.3">
      <c r="H95" s="58"/>
      <c r="I95" s="58"/>
      <c r="J95" s="58"/>
      <c r="K95" s="58"/>
      <c r="L95" s="58"/>
      <c r="M95" s="58"/>
      <c r="N95" s="58"/>
      <c r="O95" s="58"/>
    </row>
    <row r="96" spans="1:15" x14ac:dyDescent="0.3">
      <c r="A96" s="4" t="s">
        <v>256</v>
      </c>
      <c r="H96" s="58"/>
      <c r="I96" s="58"/>
      <c r="J96" s="58"/>
      <c r="K96" s="58"/>
      <c r="L96" s="58"/>
      <c r="M96" s="58"/>
      <c r="N96" s="58"/>
      <c r="O96" s="58"/>
    </row>
    <row r="97" spans="2:15" x14ac:dyDescent="0.3">
      <c r="B97" s="1" t="s">
        <v>261</v>
      </c>
      <c r="H97" s="58"/>
      <c r="I97" s="58"/>
      <c r="J97" s="58"/>
      <c r="K97" s="58"/>
      <c r="L97" s="58"/>
      <c r="M97" s="58"/>
      <c r="N97" s="58"/>
      <c r="O97" s="58"/>
    </row>
    <row r="98" spans="2:15" x14ac:dyDescent="0.3">
      <c r="C98" s="1" t="s">
        <v>223</v>
      </c>
      <c r="H98" s="58">
        <f>G102</f>
        <v>1222636805.9422159</v>
      </c>
      <c r="I98" s="58">
        <f t="shared" ref="I98:O98" si="41">H102</f>
        <v>1251228139.2947063</v>
      </c>
      <c r="J98" s="58">
        <f t="shared" si="41"/>
        <v>1428687061.423835</v>
      </c>
      <c r="K98" s="58">
        <f t="shared" si="41"/>
        <v>1741776939.8067348</v>
      </c>
      <c r="L98" s="58">
        <f t="shared" si="41"/>
        <v>2134990318.5421882</v>
      </c>
      <c r="M98" s="58">
        <f t="shared" si="41"/>
        <v>8017090534.072073</v>
      </c>
      <c r="N98" s="58">
        <f t="shared" si="41"/>
        <v>8401076262.0055408</v>
      </c>
      <c r="O98" s="58">
        <f t="shared" si="41"/>
        <v>8827073434.9531174</v>
      </c>
    </row>
    <row r="99" spans="2:15" x14ac:dyDescent="0.3">
      <c r="C99" s="1" t="s">
        <v>357</v>
      </c>
      <c r="H99" s="58">
        <f>H77</f>
        <v>28591333.352490462</v>
      </c>
      <c r="I99" s="58">
        <f t="shared" ref="I99:O99" si="42">I77</f>
        <v>177458922.12912872</v>
      </c>
      <c r="J99" s="58">
        <f t="shared" si="42"/>
        <v>313089878.38289976</v>
      </c>
      <c r="K99" s="58">
        <f t="shared" si="42"/>
        <v>438558041.83721662</v>
      </c>
      <c r="L99" s="58">
        <f t="shared" si="42"/>
        <v>672473514.01489067</v>
      </c>
      <c r="M99" s="58">
        <f t="shared" si="42"/>
        <v>1592667066.5492549</v>
      </c>
      <c r="N99" s="58">
        <f t="shared" si="42"/>
        <v>1756680826.0272489</v>
      </c>
      <c r="O99" s="58">
        <f t="shared" si="42"/>
        <v>1936501751.9237332</v>
      </c>
    </row>
    <row r="100" spans="2:15" x14ac:dyDescent="0.3">
      <c r="C100" s="1" t="s">
        <v>263</v>
      </c>
      <c r="H100" s="58">
        <f>H94</f>
        <v>0</v>
      </c>
      <c r="I100" s="58">
        <f t="shared" ref="I100:O100" si="43">I94</f>
        <v>0</v>
      </c>
      <c r="J100" s="58">
        <f t="shared" si="43"/>
        <v>0</v>
      </c>
      <c r="K100" s="58">
        <f t="shared" si="43"/>
        <v>45344663.101763368</v>
      </c>
      <c r="L100" s="58">
        <f t="shared" si="43"/>
        <v>5330253951.4702473</v>
      </c>
      <c r="M100" s="58">
        <f t="shared" si="43"/>
        <v>1208681338.6157873</v>
      </c>
      <c r="N100" s="58">
        <f t="shared" si="43"/>
        <v>1330683653.0796714</v>
      </c>
      <c r="O100" s="58">
        <f t="shared" si="43"/>
        <v>1464744228.6039042</v>
      </c>
    </row>
    <row r="101" spans="2:15" x14ac:dyDescent="0.3">
      <c r="C101" s="1" t="s">
        <v>365</v>
      </c>
      <c r="H101" s="58">
        <f>H86</f>
        <v>0</v>
      </c>
      <c r="I101" s="58">
        <f t="shared" ref="I101:O101" si="44">I86</f>
        <v>0</v>
      </c>
      <c r="J101" s="58">
        <f t="shared" si="44"/>
        <v>0</v>
      </c>
      <c r="K101" s="58">
        <f t="shared" si="44"/>
        <v>0</v>
      </c>
      <c r="L101" s="58">
        <f t="shared" si="44"/>
        <v>10539880652.985241</v>
      </c>
      <c r="M101" s="58">
        <f t="shared" si="44"/>
        <v>0</v>
      </c>
      <c r="N101" s="58">
        <f t="shared" si="44"/>
        <v>0</v>
      </c>
      <c r="O101" s="58">
        <f t="shared" si="44"/>
        <v>0</v>
      </c>
    </row>
    <row r="102" spans="2:15" x14ac:dyDescent="0.3">
      <c r="C102" s="1" t="s">
        <v>226</v>
      </c>
      <c r="G102" s="58">
        <f>G23</f>
        <v>1222636805.9422159</v>
      </c>
      <c r="H102" s="58">
        <f>H98+H99-H100+H101</f>
        <v>1251228139.2947063</v>
      </c>
      <c r="I102" s="58">
        <f t="shared" ref="I102:O102" si="45">I98+I99-I100+I101</f>
        <v>1428687061.423835</v>
      </c>
      <c r="J102" s="58">
        <f t="shared" si="45"/>
        <v>1741776939.8067348</v>
      </c>
      <c r="K102" s="58">
        <f t="shared" si="45"/>
        <v>2134990318.5421882</v>
      </c>
      <c r="L102" s="58">
        <f t="shared" si="45"/>
        <v>8017090534.072073</v>
      </c>
      <c r="M102" s="58">
        <f t="shared" si="45"/>
        <v>8401076262.0055408</v>
      </c>
      <c r="N102" s="58">
        <f t="shared" si="45"/>
        <v>8827073434.9531174</v>
      </c>
      <c r="O102" s="58">
        <f t="shared" si="45"/>
        <v>9298830958.2729454</v>
      </c>
    </row>
    <row r="103" spans="2:15" x14ac:dyDescent="0.3">
      <c r="H103" s="58"/>
      <c r="I103" s="58"/>
      <c r="J103" s="58"/>
      <c r="K103" s="58"/>
      <c r="L103" s="58"/>
      <c r="M103" s="58"/>
      <c r="N103" s="58"/>
      <c r="O103" s="58"/>
    </row>
    <row r="104" spans="2:15" x14ac:dyDescent="0.3">
      <c r="B104" t="s">
        <v>43</v>
      </c>
      <c r="H104" s="58"/>
      <c r="I104" s="58"/>
      <c r="J104" s="58"/>
      <c r="K104" s="58"/>
      <c r="L104" s="58"/>
      <c r="M104" s="58"/>
      <c r="N104" s="58"/>
      <c r="O104" s="58"/>
    </row>
    <row r="105" spans="2:15" x14ac:dyDescent="0.3">
      <c r="C105" t="s">
        <v>227</v>
      </c>
      <c r="G105" s="58">
        <f>G53</f>
        <v>199035728.0300006</v>
      </c>
      <c r="H105" s="58">
        <f>H53</f>
        <v>168018831.22252238</v>
      </c>
      <c r="I105" s="58">
        <f t="shared" ref="I105:O105" si="46">I53</f>
        <v>184820714.34477463</v>
      </c>
      <c r="J105" s="58">
        <f t="shared" si="46"/>
        <v>203302785.77925211</v>
      </c>
      <c r="K105" s="58">
        <f t="shared" si="46"/>
        <v>223633064.35717738</v>
      </c>
      <c r="L105" s="58">
        <f t="shared" si="46"/>
        <v>245996370.79289511</v>
      </c>
      <c r="M105" s="58">
        <f t="shared" si="46"/>
        <v>270596007.87218463</v>
      </c>
      <c r="N105" s="58">
        <f t="shared" si="46"/>
        <v>297655608.65940315</v>
      </c>
      <c r="O105" s="58">
        <f t="shared" si="46"/>
        <v>327421169.52534348</v>
      </c>
    </row>
    <row r="106" spans="2:15" x14ac:dyDescent="0.3">
      <c r="C106" t="s">
        <v>59</v>
      </c>
      <c r="G106" s="58">
        <f>G32</f>
        <v>614928927.08496583</v>
      </c>
      <c r="H106" s="58">
        <f>H32</f>
        <v>676421819.7934624</v>
      </c>
      <c r="I106" s="58">
        <f t="shared" ref="I106:O106" si="47">I32</f>
        <v>744064001.77280879</v>
      </c>
      <c r="J106" s="58">
        <f t="shared" si="47"/>
        <v>818470401.95008969</v>
      </c>
      <c r="K106" s="58">
        <f t="shared" si="47"/>
        <v>900317442.14509881</v>
      </c>
      <c r="L106" s="58">
        <f t="shared" si="47"/>
        <v>990349186.35960865</v>
      </c>
      <c r="M106" s="58">
        <f t="shared" si="47"/>
        <v>1089384104.9955695</v>
      </c>
      <c r="N106" s="58">
        <f t="shared" si="47"/>
        <v>1198322515.4951267</v>
      </c>
      <c r="O106" s="58">
        <f t="shared" si="47"/>
        <v>1318154767.0446396</v>
      </c>
    </row>
    <row r="107" spans="2:15" x14ac:dyDescent="0.3">
      <c r="C107" t="s">
        <v>167</v>
      </c>
      <c r="G107" s="58">
        <f>G33</f>
        <v>1615311080.3556349</v>
      </c>
      <c r="H107" s="58">
        <f>H33</f>
        <v>1776842188.3911984</v>
      </c>
      <c r="I107" s="58">
        <f t="shared" ref="I107:O107" si="48">I33</f>
        <v>1954526407.2303183</v>
      </c>
      <c r="J107" s="58">
        <f t="shared" si="48"/>
        <v>2149979047.9533505</v>
      </c>
      <c r="K107" s="58">
        <f t="shared" si="48"/>
        <v>2364976952.7486854</v>
      </c>
      <c r="L107" s="58">
        <f t="shared" si="48"/>
        <v>2601474648.0235538</v>
      </c>
      <c r="M107" s="58">
        <f t="shared" si="48"/>
        <v>2861622112.8259091</v>
      </c>
      <c r="N107" s="58">
        <f t="shared" si="48"/>
        <v>3147784324.108501</v>
      </c>
      <c r="O107" s="58">
        <f t="shared" si="48"/>
        <v>3462562756.5193515</v>
      </c>
    </row>
    <row r="108" spans="2:15" x14ac:dyDescent="0.3">
      <c r="C108" t="s">
        <v>257</v>
      </c>
      <c r="G108" s="58">
        <f>G34</f>
        <v>1072378783.3672003</v>
      </c>
      <c r="H108" s="58">
        <f>H34</f>
        <v>1123287970.7581453</v>
      </c>
      <c r="I108" s="58">
        <f t="shared" ref="I108:O108" si="49">I34</f>
        <v>1186338987.4596431</v>
      </c>
      <c r="J108" s="58">
        <f t="shared" si="49"/>
        <v>1261863422.8424873</v>
      </c>
      <c r="K108" s="58">
        <f t="shared" si="49"/>
        <v>1350336503.3414147</v>
      </c>
      <c r="L108" s="58">
        <f t="shared" si="49"/>
        <v>1452377627.1273143</v>
      </c>
      <c r="M108" s="58">
        <f t="shared" si="49"/>
        <v>1568752683.2878351</v>
      </c>
      <c r="N108" s="58">
        <f t="shared" si="49"/>
        <v>1700378117.2851696</v>
      </c>
      <c r="O108" s="58">
        <f t="shared" si="49"/>
        <v>1848326727.7597322</v>
      </c>
    </row>
    <row r="109" spans="2:15" x14ac:dyDescent="0.3">
      <c r="C109" t="s">
        <v>75</v>
      </c>
      <c r="G109" s="58">
        <f>$G$14</f>
        <v>3656782296.7471786</v>
      </c>
      <c r="H109" s="58">
        <f>$G$14</f>
        <v>3656782296.7471786</v>
      </c>
      <c r="I109" s="58">
        <f t="shared" ref="I109:O109" si="50">$G$14</f>
        <v>3656782296.7471786</v>
      </c>
      <c r="J109" s="58">
        <f t="shared" si="50"/>
        <v>3656782296.7471786</v>
      </c>
      <c r="K109" s="58">
        <f t="shared" si="50"/>
        <v>3656782296.7471786</v>
      </c>
      <c r="L109" s="58">
        <f t="shared" si="50"/>
        <v>3656782296.7471786</v>
      </c>
      <c r="M109" s="58">
        <f t="shared" si="50"/>
        <v>3656782296.7471786</v>
      </c>
      <c r="N109" s="58">
        <f t="shared" si="50"/>
        <v>3656782296.7471786</v>
      </c>
      <c r="O109" s="58">
        <f t="shared" si="50"/>
        <v>3656782296.7471786</v>
      </c>
    </row>
    <row r="110" spans="2:15" x14ac:dyDescent="0.3">
      <c r="C110" t="s">
        <v>312</v>
      </c>
      <c r="G110" s="58">
        <f>G66</f>
        <v>111148800.54020151</v>
      </c>
      <c r="H110" s="58">
        <f>H66</f>
        <v>88919040.432161212</v>
      </c>
      <c r="I110" s="58">
        <f t="shared" ref="I110:O110" si="51">I66</f>
        <v>66689280.324120909</v>
      </c>
      <c r="J110" s="58">
        <f t="shared" si="51"/>
        <v>44459520.216080606</v>
      </c>
      <c r="K110" s="58">
        <f t="shared" si="51"/>
        <v>22229760.108040303</v>
      </c>
      <c r="L110" s="58">
        <f t="shared" si="51"/>
        <v>0</v>
      </c>
      <c r="M110" s="58">
        <f t="shared" si="51"/>
        <v>0</v>
      </c>
      <c r="N110" s="58">
        <f t="shared" si="51"/>
        <v>0</v>
      </c>
      <c r="O110" s="58">
        <f t="shared" si="51"/>
        <v>0</v>
      </c>
    </row>
    <row r="111" spans="2:15" x14ac:dyDescent="0.3">
      <c r="C111" t="s">
        <v>258</v>
      </c>
      <c r="G111" s="58">
        <f>G35</f>
        <v>231823892.46811008</v>
      </c>
      <c r="H111" s="58">
        <f>H35</f>
        <v>231823892.46811008</v>
      </c>
      <c r="I111" s="58">
        <f t="shared" ref="I111:O111" si="52">I35</f>
        <v>231823892.46811008</v>
      </c>
      <c r="J111" s="58">
        <f t="shared" si="52"/>
        <v>231823892.46811008</v>
      </c>
      <c r="K111" s="58">
        <f t="shared" si="52"/>
        <v>231823892.46811008</v>
      </c>
      <c r="L111" s="58">
        <f t="shared" si="52"/>
        <v>231823892.46811008</v>
      </c>
      <c r="M111" s="58">
        <f t="shared" si="52"/>
        <v>231823892.46811008</v>
      </c>
      <c r="N111" s="58">
        <f t="shared" si="52"/>
        <v>231823892.46811008</v>
      </c>
      <c r="O111" s="58">
        <f t="shared" si="52"/>
        <v>231823892.46811008</v>
      </c>
    </row>
    <row r="112" spans="2:15" ht="13.5" thickBot="1" x14ac:dyDescent="0.35">
      <c r="D112" s="70" t="s">
        <v>199</v>
      </c>
      <c r="E112" s="70"/>
      <c r="F112" s="70"/>
      <c r="G112" s="81">
        <f>SUM(G105:G111)</f>
        <v>7501409508.5932913</v>
      </c>
      <c r="H112" s="81">
        <f>SUM(H105:H111)</f>
        <v>7722096039.8127785</v>
      </c>
      <c r="I112" s="81">
        <f t="shared" ref="I112:O112" si="53">SUM(I105:I111)</f>
        <v>8025045580.3469543</v>
      </c>
      <c r="J112" s="81">
        <f t="shared" si="53"/>
        <v>8366681367.9565487</v>
      </c>
      <c r="K112" s="81">
        <f t="shared" si="53"/>
        <v>8750099911.9157028</v>
      </c>
      <c r="L112" s="81">
        <f t="shared" si="53"/>
        <v>9178804021.5186615</v>
      </c>
      <c r="M112" s="81">
        <f t="shared" si="53"/>
        <v>9678961098.1967888</v>
      </c>
      <c r="N112" s="81">
        <f t="shared" si="53"/>
        <v>10232746754.763489</v>
      </c>
      <c r="O112" s="81">
        <f t="shared" si="53"/>
        <v>10845071610.064354</v>
      </c>
    </row>
    <row r="113" spans="1:15" ht="13.5" thickTop="1" x14ac:dyDescent="0.3">
      <c r="H113" s="58"/>
      <c r="I113" s="58"/>
      <c r="J113" s="58"/>
      <c r="K113" s="58"/>
      <c r="L113" s="58"/>
      <c r="M113" s="58"/>
      <c r="N113" s="58"/>
      <c r="O113" s="58"/>
    </row>
    <row r="114" spans="1:15" x14ac:dyDescent="0.3">
      <c r="B114" t="s">
        <v>103</v>
      </c>
    </row>
    <row r="115" spans="1:15" x14ac:dyDescent="0.3">
      <c r="C115" t="s">
        <v>85</v>
      </c>
      <c r="G115" s="58">
        <f>G36</f>
        <v>721332675.64099979</v>
      </c>
      <c r="H115" s="58">
        <f>H36</f>
        <v>793465943.20509982</v>
      </c>
      <c r="I115" s="58">
        <f t="shared" ref="I115:O115" si="54">I36</f>
        <v>872812537.52560985</v>
      </c>
      <c r="J115" s="58">
        <f t="shared" si="54"/>
        <v>960093791.27817094</v>
      </c>
      <c r="K115" s="58">
        <f t="shared" si="54"/>
        <v>1056103170.405988</v>
      </c>
      <c r="L115" s="58">
        <f t="shared" si="54"/>
        <v>1161713487.4465868</v>
      </c>
      <c r="M115" s="58">
        <f t="shared" si="54"/>
        <v>1277884836.1912456</v>
      </c>
      <c r="N115" s="58">
        <f t="shared" si="54"/>
        <v>1405673319.8103704</v>
      </c>
      <c r="O115" s="58">
        <f t="shared" si="54"/>
        <v>1546240651.7914076</v>
      </c>
    </row>
    <row r="116" spans="1:15" x14ac:dyDescent="0.3">
      <c r="C116" t="s">
        <v>259</v>
      </c>
      <c r="G116" s="58">
        <f>G60</f>
        <v>5557440027.0100756</v>
      </c>
      <c r="H116" s="58">
        <f>H60</f>
        <v>5677401957.3129721</v>
      </c>
      <c r="I116" s="58">
        <f t="shared" ref="I116:O116" si="55">I60</f>
        <v>5723545981.3975086</v>
      </c>
      <c r="J116" s="58">
        <f t="shared" si="55"/>
        <v>5664810636.8716421</v>
      </c>
      <c r="K116" s="58">
        <f t="shared" si="55"/>
        <v>5559006422.9675274</v>
      </c>
      <c r="L116" s="58">
        <f t="shared" si="55"/>
        <v>0</v>
      </c>
      <c r="M116" s="58">
        <f t="shared" si="55"/>
        <v>0</v>
      </c>
      <c r="N116" s="58">
        <f t="shared" si="55"/>
        <v>0</v>
      </c>
      <c r="O116" s="58">
        <f t="shared" si="55"/>
        <v>0</v>
      </c>
    </row>
    <row r="117" spans="1:15" x14ac:dyDescent="0.3">
      <c r="C117" t="s">
        <v>260</v>
      </c>
      <c r="G117" s="58">
        <f>G37</f>
        <v>0</v>
      </c>
      <c r="H117" s="58">
        <f>H37</f>
        <v>0</v>
      </c>
      <c r="I117" s="58">
        <f t="shared" ref="I117:O117" si="56">I37</f>
        <v>0</v>
      </c>
      <c r="J117" s="58">
        <f t="shared" si="56"/>
        <v>0</v>
      </c>
      <c r="K117" s="58">
        <f t="shared" si="56"/>
        <v>0</v>
      </c>
      <c r="L117" s="58">
        <f t="shared" si="56"/>
        <v>0</v>
      </c>
      <c r="M117" s="58">
        <f t="shared" si="56"/>
        <v>0</v>
      </c>
      <c r="N117" s="58">
        <f t="shared" si="56"/>
        <v>0</v>
      </c>
      <c r="O117" s="58">
        <f t="shared" si="56"/>
        <v>0</v>
      </c>
    </row>
    <row r="118" spans="1:15" x14ac:dyDescent="0.3">
      <c r="C118" t="s">
        <v>107</v>
      </c>
      <c r="G118" s="58">
        <f>G102</f>
        <v>1222636805.9422159</v>
      </c>
      <c r="H118" s="58">
        <f>H102</f>
        <v>1251228139.2947063</v>
      </c>
      <c r="I118" s="58">
        <f t="shared" ref="I118:O118" si="57">I102</f>
        <v>1428687061.423835</v>
      </c>
      <c r="J118" s="58">
        <f t="shared" si="57"/>
        <v>1741776939.8067348</v>
      </c>
      <c r="K118" s="58">
        <f t="shared" si="57"/>
        <v>2134990318.5421882</v>
      </c>
      <c r="L118" s="58">
        <f t="shared" si="57"/>
        <v>8017090534.072073</v>
      </c>
      <c r="M118" s="58">
        <f t="shared" si="57"/>
        <v>8401076262.0055408</v>
      </c>
      <c r="N118" s="58">
        <f t="shared" si="57"/>
        <v>8827073434.9531174</v>
      </c>
      <c r="O118" s="58">
        <f t="shared" si="57"/>
        <v>9298830958.2729454</v>
      </c>
    </row>
    <row r="119" spans="1:15" ht="13.5" thickBot="1" x14ac:dyDescent="0.35">
      <c r="D119" s="70" t="s">
        <v>199</v>
      </c>
      <c r="E119" s="70"/>
      <c r="F119" s="70"/>
      <c r="G119" s="81">
        <f>SUM(G115:G118)</f>
        <v>7501409508.5932913</v>
      </c>
      <c r="H119" s="81">
        <f>SUM(H115:H118)</f>
        <v>7722096039.8127785</v>
      </c>
      <c r="I119" s="81">
        <f t="shared" ref="I119:O119" si="58">SUM(I115:I118)</f>
        <v>8025045580.3469534</v>
      </c>
      <c r="J119" s="81">
        <f t="shared" si="58"/>
        <v>8366681367.9565477</v>
      </c>
      <c r="K119" s="81">
        <f t="shared" si="58"/>
        <v>8750099911.9157028</v>
      </c>
      <c r="L119" s="81">
        <f t="shared" si="58"/>
        <v>9178804021.5186596</v>
      </c>
      <c r="M119" s="81">
        <f t="shared" si="58"/>
        <v>9678961098.1967869</v>
      </c>
      <c r="N119" s="81">
        <f t="shared" si="58"/>
        <v>10232746754.763489</v>
      </c>
      <c r="O119" s="81">
        <f t="shared" si="58"/>
        <v>10845071610.064354</v>
      </c>
    </row>
    <row r="120" spans="1:15" ht="13.5" thickTop="1" x14ac:dyDescent="0.3"/>
    <row r="121" spans="1:15" x14ac:dyDescent="0.3">
      <c r="C121" s="1" t="s">
        <v>102</v>
      </c>
      <c r="G121" s="58">
        <f>G119-G112</f>
        <v>0</v>
      </c>
      <c r="H121" s="58">
        <f t="shared" ref="H121:O121" si="59">H119-H112</f>
        <v>0</v>
      </c>
      <c r="I121" s="58">
        <f t="shared" si="59"/>
        <v>0</v>
      </c>
      <c r="J121" s="58">
        <f t="shared" si="59"/>
        <v>0</v>
      </c>
      <c r="K121" s="58">
        <f t="shared" si="59"/>
        <v>0</v>
      </c>
      <c r="L121" s="58">
        <f t="shared" si="59"/>
        <v>0</v>
      </c>
      <c r="M121" s="58">
        <f t="shared" si="59"/>
        <v>0</v>
      </c>
      <c r="N121" s="58">
        <f t="shared" si="59"/>
        <v>0</v>
      </c>
      <c r="O121" s="58">
        <f t="shared" si="59"/>
        <v>0</v>
      </c>
    </row>
    <row r="123" spans="1:15" x14ac:dyDescent="0.3">
      <c r="A123" s="4" t="s">
        <v>253</v>
      </c>
    </row>
    <row r="124" spans="1:15" x14ac:dyDescent="0.3">
      <c r="C124" s="1" t="s">
        <v>358</v>
      </c>
      <c r="G124" s="59">
        <f>G116/(G116+G118)</f>
        <v>0.81967213114754112</v>
      </c>
      <c r="H124" s="59">
        <f t="shared" ref="H124:O124" si="60">H116/(H116+H118)</f>
        <v>0.81941190078723947</v>
      </c>
      <c r="I124" s="59">
        <f t="shared" si="60"/>
        <v>0.80024601367571491</v>
      </c>
      <c r="J124" s="59">
        <f t="shared" si="60"/>
        <v>0.76483408563328326</v>
      </c>
      <c r="K124" s="59">
        <f t="shared" si="60"/>
        <v>0.72251218836320164</v>
      </c>
      <c r="L124" s="59">
        <f t="shared" si="60"/>
        <v>0</v>
      </c>
      <c r="M124" s="59">
        <f t="shared" si="60"/>
        <v>0</v>
      </c>
      <c r="N124" s="59">
        <f t="shared" si="60"/>
        <v>0</v>
      </c>
      <c r="O124" s="59">
        <f t="shared" si="60"/>
        <v>0</v>
      </c>
    </row>
    <row r="125" spans="1:15" x14ac:dyDescent="0.3">
      <c r="C125" s="1" t="s">
        <v>359</v>
      </c>
      <c r="H125" s="3">
        <f>G116/H82</f>
        <v>5.5137939846832733</v>
      </c>
      <c r="I125" s="3">
        <f t="shared" ref="I125:O125" si="61">H116/I82</f>
        <v>4.7317115653107082</v>
      </c>
      <c r="J125" s="3">
        <f t="shared" si="61"/>
        <v>4.1955294210533776</v>
      </c>
      <c r="K125" s="3">
        <f t="shared" si="61"/>
        <v>3.7691030260403804</v>
      </c>
      <c r="L125" s="3">
        <f t="shared" si="61"/>
        <v>3.1645556184128329</v>
      </c>
      <c r="M125" s="3">
        <f t="shared" si="61"/>
        <v>0</v>
      </c>
      <c r="N125" s="3">
        <f t="shared" si="61"/>
        <v>0</v>
      </c>
      <c r="O125" s="3">
        <f t="shared" si="61"/>
        <v>0</v>
      </c>
    </row>
    <row r="126" spans="1:15" x14ac:dyDescent="0.3">
      <c r="C126" s="1" t="s">
        <v>360</v>
      </c>
      <c r="H126" s="3">
        <f>IF(H73,H72/H73)</f>
        <v>1.0213955191846722</v>
      </c>
      <c r="I126" s="3">
        <f t="shared" ref="I126:O126" si="62">IF(I73,I72/I73)</f>
        <v>1.2177231338700258</v>
      </c>
      <c r="J126" s="3">
        <f t="shared" si="62"/>
        <v>1.3901313320240569</v>
      </c>
      <c r="K126" s="3">
        <f t="shared" si="62"/>
        <v>1.5567182482309856</v>
      </c>
      <c r="L126" s="3">
        <f t="shared" si="62"/>
        <v>1.877301233571117</v>
      </c>
      <c r="M126" s="3" t="b">
        <f t="shared" si="62"/>
        <v>0</v>
      </c>
      <c r="N126" s="3" t="b">
        <f t="shared" si="62"/>
        <v>0</v>
      </c>
      <c r="O126" s="3" t="b">
        <f t="shared" si="62"/>
        <v>0</v>
      </c>
    </row>
    <row r="128" spans="1:15" x14ac:dyDescent="0.3">
      <c r="C128" s="1" t="s">
        <v>361</v>
      </c>
      <c r="H128" s="73">
        <f>IFERROR(LOOKUP(H125,'Structuring Assumptions'!32:32,'Structuring Assumptions'!33:33),0)</f>
        <v>1</v>
      </c>
      <c r="I128" s="73">
        <f>IFERROR(LOOKUP(I125,'Structuring Assumptions'!32:32,'Structuring Assumptions'!33:33),0)</f>
        <v>1</v>
      </c>
      <c r="J128" s="73">
        <f>IFERROR(LOOKUP(J125,'Structuring Assumptions'!32:32,'Structuring Assumptions'!33:33),0)</f>
        <v>1</v>
      </c>
      <c r="K128" s="73">
        <f>IFERROR(LOOKUP(K125,'Structuring Assumptions'!32:32,'Structuring Assumptions'!33:33),0)</f>
        <v>0.7</v>
      </c>
      <c r="L128" s="73">
        <f>IFERROR(LOOKUP(L125,'Structuring Assumptions'!32:32,'Structuring Assumptions'!33:33),0)</f>
        <v>0.7</v>
      </c>
      <c r="M128" s="73">
        <f>IFERROR(LOOKUP(M125,'Structuring Assumptions'!32:32,'Structuring Assumptions'!33:33),0)</f>
        <v>0</v>
      </c>
      <c r="N128" s="73">
        <f>IFERROR(LOOKUP(N125,'Structuring Assumptions'!32:32,'Structuring Assumptions'!33:33),0)</f>
        <v>0</v>
      </c>
      <c r="O128" s="73">
        <f>IFERROR(LOOKUP(O125,'Structuring Assumptions'!32:32,'Structuring Assumptions'!33:33),0)</f>
        <v>0</v>
      </c>
    </row>
    <row r="130" spans="3:15" x14ac:dyDescent="0.3">
      <c r="C130" s="1" t="s">
        <v>362</v>
      </c>
      <c r="G130" s="58">
        <f>-'Structuring Assumptions'!E47</f>
        <v>-1322670726.4283972</v>
      </c>
      <c r="H130" s="58">
        <f>H94*H4</f>
        <v>0</v>
      </c>
      <c r="I130" s="58">
        <f t="shared" ref="I130:O130" si="63">I94*I4</f>
        <v>0</v>
      </c>
      <c r="J130" s="58">
        <f t="shared" si="63"/>
        <v>0</v>
      </c>
      <c r="K130" s="58">
        <f t="shared" si="63"/>
        <v>45344663.101763368</v>
      </c>
      <c r="L130" s="58">
        <f t="shared" si="63"/>
        <v>5330253951.4702473</v>
      </c>
      <c r="M130" s="58">
        <f t="shared" si="63"/>
        <v>0</v>
      </c>
      <c r="N130" s="58">
        <f t="shared" si="63"/>
        <v>0</v>
      </c>
      <c r="O130" s="58">
        <f t="shared" si="63"/>
        <v>0</v>
      </c>
    </row>
    <row r="131" spans="3:15" x14ac:dyDescent="0.3">
      <c r="C131" s="1" t="s">
        <v>363</v>
      </c>
      <c r="G131" s="59">
        <f>IRR(130:130)</f>
        <v>0.32444035257890924</v>
      </c>
    </row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7430" r:id="rId3" name="Drop Down 22">
              <controlPr defaultSize="0" autoLine="0" autoPict="0">
                <anchor moveWithCells="1">
                  <from>
                    <xdr:col>3</xdr:col>
                    <xdr:colOff>933450</xdr:colOff>
                    <xdr:row>0</xdr:row>
                    <xdr:rowOff>120650</xdr:rowOff>
                  </from>
                  <to>
                    <xdr:col>5</xdr:col>
                    <xdr:colOff>317500</xdr:colOff>
                    <xdr:row>1</xdr:row>
                    <xdr:rowOff>165100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8"/>
  <dimension ref="D3:T78"/>
  <sheetViews>
    <sheetView zoomScale="70" zoomScaleNormal="70" workbookViewId="0"/>
  </sheetViews>
  <sheetFormatPr defaultRowHeight="12.5" x14ac:dyDescent="0.25"/>
  <cols>
    <col min="1" max="3" width="1.453125" customWidth="1"/>
    <col min="9" max="12" width="15.08984375" bestFit="1" customWidth="1"/>
    <col min="13" max="20" width="15.7265625" bestFit="1" customWidth="1"/>
  </cols>
  <sheetData>
    <row r="3" spans="4:20" x14ac:dyDescent="0.25">
      <c r="E3" s="1" t="s">
        <v>119</v>
      </c>
      <c r="F3" s="1" t="s">
        <v>275</v>
      </c>
      <c r="I3">
        <f>'Financial Model'!I2</f>
        <v>2011</v>
      </c>
      <c r="J3">
        <f>'Financial Model'!J2</f>
        <v>2012</v>
      </c>
      <c r="K3">
        <f>'Financial Model'!K2</f>
        <v>2013</v>
      </c>
      <c r="L3">
        <f>'Financial Model'!L2</f>
        <v>2014</v>
      </c>
      <c r="M3">
        <f>'Financial Model'!M2</f>
        <v>2015</v>
      </c>
      <c r="N3">
        <f>'Financial Model'!N2</f>
        <v>2016</v>
      </c>
      <c r="O3">
        <f>'Financial Model'!O2</f>
        <v>2017</v>
      </c>
      <c r="P3">
        <f>'Financial Model'!P2</f>
        <v>2018</v>
      </c>
      <c r="Q3">
        <f>'Financial Model'!Q2</f>
        <v>2019</v>
      </c>
      <c r="R3">
        <f>'Financial Model'!R2</f>
        <v>2020</v>
      </c>
      <c r="S3">
        <f>'Financial Model'!S2</f>
        <v>2021</v>
      </c>
      <c r="T3">
        <f>'Financial Model'!T2</f>
        <v>2022</v>
      </c>
    </row>
    <row r="4" spans="4:20" x14ac:dyDescent="0.25">
      <c r="D4">
        <v>1</v>
      </c>
      <c r="E4">
        <f>MATCH(D4,'Financial Model'!$E$237:$E$328,0)</f>
        <v>1</v>
      </c>
      <c r="F4" t="str">
        <f>INDEX('Financial Model'!$D$237:$D$328,'Graph Data'!E4)</f>
        <v>Revenue Growth Index</v>
      </c>
      <c r="I4" s="3">
        <f>INDEX('Financial Model'!I$237:I$328,'Graph Data'!$E4)</f>
        <v>0</v>
      </c>
      <c r="J4" s="3">
        <f>INDEX('Financial Model'!J$237:J$328,'Graph Data'!$E4)</f>
        <v>1.0264678830381553</v>
      </c>
      <c r="K4" s="3">
        <f>INDEX('Financial Model'!K$237:K$328,'Graph Data'!$E4)</f>
        <v>1.4109684833500982</v>
      </c>
      <c r="L4" s="3">
        <f>INDEX('Financial Model'!L$237:L$328,'Graph Data'!$E4)</f>
        <v>0.93067437594038993</v>
      </c>
      <c r="M4" s="3">
        <f>INDEX('Financial Model'!M$237:M$328,'Graph Data'!$E4)</f>
        <v>1.1000000000000001</v>
      </c>
      <c r="N4" s="3">
        <f>INDEX('Financial Model'!N$237:N$328,'Graph Data'!$E4)</f>
        <v>1.1000000000000001</v>
      </c>
      <c r="O4" s="3">
        <f>INDEX('Financial Model'!O$237:O$328,'Graph Data'!$E4)</f>
        <v>1.1000000000000001</v>
      </c>
      <c r="P4" s="3">
        <f>INDEX('Financial Model'!P$237:P$328,'Graph Data'!$E4)</f>
        <v>1.1000000000000001</v>
      </c>
      <c r="Q4" s="3">
        <f>INDEX('Financial Model'!Q$237:Q$328,'Graph Data'!$E4)</f>
        <v>1.1000000000000001</v>
      </c>
      <c r="R4" s="3">
        <f>INDEX('Financial Model'!R$237:R$328,'Graph Data'!$E4)</f>
        <v>1.1000000000000001</v>
      </c>
      <c r="S4" s="3">
        <f>INDEX('Financial Model'!S$237:S$328,'Graph Data'!$E4)</f>
        <v>1.1000000000000001</v>
      </c>
      <c r="T4" s="3">
        <f>INDEX('Financial Model'!T$237:T$328,'Graph Data'!$E4)</f>
        <v>1.1000000000000001</v>
      </c>
    </row>
    <row r="5" spans="4:20" x14ac:dyDescent="0.25">
      <c r="D5">
        <f>D4+1</f>
        <v>2</v>
      </c>
      <c r="E5">
        <f>MATCH(D5,'Financial Model'!$E$237:$E$328,0)</f>
        <v>2</v>
      </c>
      <c r="F5" t="str">
        <f>INDEX('Financial Model'!$D$237:$D$328,'Graph Data'!E5)</f>
        <v>Revenues Gross</v>
      </c>
      <c r="I5" s="3">
        <f>INDEX('Financial Model'!I$237:I$328,'Graph Data'!$E5)</f>
        <v>3784294503.7239799</v>
      </c>
      <c r="J5" s="3">
        <f>INDEX('Financial Model'!J$237:J$328,'Graph Data'!$E5)</f>
        <v>3884456768.0304799</v>
      </c>
      <c r="K5" s="3">
        <f>INDEX('Financial Model'!K$237:K$328,'Graph Data'!$E5)</f>
        <v>5480846074.6269903</v>
      </c>
      <c r="L5" s="3">
        <f>INDEX('Financial Model'!L$237:L$328,'Graph Data'!$E5)</f>
        <v>5100883000.1288099</v>
      </c>
      <c r="M5" s="3">
        <f>INDEX('Financial Model'!M$237:M$328,'Graph Data'!$E5)</f>
        <v>5610971300.1416912</v>
      </c>
      <c r="N5" s="3">
        <f>INDEX('Financial Model'!N$237:N$328,'Graph Data'!$E5)</f>
        <v>6172068430.1558609</v>
      </c>
      <c r="O5" s="3">
        <f>INDEX('Financial Model'!O$237:O$328,'Graph Data'!$E5)</f>
        <v>6789275273.1714478</v>
      </c>
      <c r="P5" s="3">
        <f>INDEX('Financial Model'!P$237:P$328,'Graph Data'!$E5)</f>
        <v>7468202800.4885931</v>
      </c>
      <c r="Q5" s="3">
        <f>INDEX('Financial Model'!Q$237:Q$328,'Graph Data'!$E5)</f>
        <v>8215023080.5374527</v>
      </c>
      <c r="R5" s="3">
        <f>INDEX('Financial Model'!R$237:R$328,'Graph Data'!$E5)</f>
        <v>9036525388.591198</v>
      </c>
      <c r="S5" s="3">
        <f>INDEX('Financial Model'!S$237:S$328,'Graph Data'!$E5)</f>
        <v>9940177927.4503193</v>
      </c>
      <c r="T5" s="3">
        <f>INDEX('Financial Model'!T$237:T$328,'Graph Data'!$E5)</f>
        <v>10934195720.195353</v>
      </c>
    </row>
    <row r="6" spans="4:20" x14ac:dyDescent="0.25">
      <c r="D6">
        <f t="shared" ref="D6:D69" si="0">D5+1</f>
        <v>3</v>
      </c>
      <c r="E6">
        <f>MATCH(D6,'Financial Model'!$E$237:$E$328,0)</f>
        <v>5</v>
      </c>
      <c r="F6" t="str">
        <f>INDEX('Financial Model'!$D$237:$D$328,'Graph Data'!E6)</f>
        <v>Losses as Pct of Revenues</v>
      </c>
      <c r="I6" s="3">
        <f>INDEX('Financial Model'!I$237:I$328,'Graph Data'!$E6)</f>
        <v>-5.644657684273623E-3</v>
      </c>
      <c r="J6" s="3">
        <f>INDEX('Financial Model'!J$237:J$328,'Graph Data'!$E6)</f>
        <v>-1.1451346393167262E-3</v>
      </c>
      <c r="K6" s="3">
        <f>INDEX('Financial Model'!K$237:K$328,'Graph Data'!$E6)</f>
        <v>-4.2040334076647365E-4</v>
      </c>
      <c r="L6" s="3">
        <f>INDEX('Financial Model'!L$237:L$328,'Graph Data'!$E6)</f>
        <v>-1.6363832692867523E-4</v>
      </c>
      <c r="M6" s="3">
        <f>INDEX('Financial Model'!M$237:M$328,'Graph Data'!$E6)</f>
        <v>-1.8434584978213745E-3</v>
      </c>
      <c r="N6" s="3">
        <f>INDEX('Financial Model'!N$237:N$328,'Graph Data'!$E6)</f>
        <v>-1.8434584978213745E-3</v>
      </c>
      <c r="O6" s="3">
        <f>INDEX('Financial Model'!O$237:O$328,'Graph Data'!$E6)</f>
        <v>-1.8434584978213745E-3</v>
      </c>
      <c r="P6" s="3">
        <f>INDEX('Financial Model'!P$237:P$328,'Graph Data'!$E6)</f>
        <v>-1.8434584978213745E-3</v>
      </c>
      <c r="Q6" s="3">
        <f>INDEX('Financial Model'!Q$237:Q$328,'Graph Data'!$E6)</f>
        <v>-1.8434584978213745E-3</v>
      </c>
      <c r="R6" s="3">
        <f>INDEX('Financial Model'!R$237:R$328,'Graph Data'!$E6)</f>
        <v>-1.8434584978213745E-3</v>
      </c>
      <c r="S6" s="3">
        <f>INDEX('Financial Model'!S$237:S$328,'Graph Data'!$E6)</f>
        <v>-1.8434584978213745E-3</v>
      </c>
      <c r="T6" s="3">
        <f>INDEX('Financial Model'!T$237:T$328,'Graph Data'!$E6)</f>
        <v>-1.8434584978213745E-3</v>
      </c>
    </row>
    <row r="7" spans="4:20" x14ac:dyDescent="0.25">
      <c r="D7">
        <f t="shared" si="0"/>
        <v>4</v>
      </c>
      <c r="E7">
        <f>MATCH(D7,'Financial Model'!$E$237:$E$328,0)</f>
        <v>6</v>
      </c>
      <c r="F7" t="str">
        <f>INDEX('Financial Model'!$D$237:$D$328,'Graph Data'!E7)</f>
        <v>Lossses and Return Amount</v>
      </c>
      <c r="I7" s="3">
        <f>INDEX('Financial Model'!I$237:I$328,'Graph Data'!$E7)</f>
        <v>-21361047.050000001</v>
      </c>
      <c r="J7" s="3">
        <f>INDEX('Financial Model'!J$237:J$328,'Graph Data'!$E7)</f>
        <v>-4448226</v>
      </c>
      <c r="K7" s="3">
        <f>INDEX('Financial Model'!K$237:K$328,'Graph Data'!$E7)</f>
        <v>-2304166</v>
      </c>
      <c r="L7" s="3">
        <f>INDEX('Financial Model'!L$237:L$328,'Graph Data'!$E7)</f>
        <v>-834699.96</v>
      </c>
      <c r="M7" s="3">
        <f>INDEX('Financial Model'!M$237:M$328,'Graph Data'!$E7)</f>
        <v>-10343592.724278046</v>
      </c>
      <c r="N7" s="3">
        <f>INDEX('Financial Model'!N$237:N$328,'Graph Data'!$E7)</f>
        <v>-11377951.996705852</v>
      </c>
      <c r="O7" s="3">
        <f>INDEX('Financial Model'!O$237:O$328,'Graph Data'!$E7)</f>
        <v>-12515747.196376439</v>
      </c>
      <c r="P7" s="3">
        <f>INDEX('Financial Model'!P$237:P$328,'Graph Data'!$E7)</f>
        <v>-13767321.916014085</v>
      </c>
      <c r="Q7" s="3">
        <f>INDEX('Financial Model'!Q$237:Q$328,'Graph Data'!$E7)</f>
        <v>-15144054.107615493</v>
      </c>
      <c r="R7" s="3">
        <f>INDEX('Financial Model'!R$237:R$328,'Graph Data'!$E7)</f>
        <v>-16658459.518377041</v>
      </c>
      <c r="S7" s="3">
        <f>INDEX('Financial Model'!S$237:S$328,'Graph Data'!$E7)</f>
        <v>-18324305.470214751</v>
      </c>
      <c r="T7" s="3">
        <f>INDEX('Financial Model'!T$237:T$328,'Graph Data'!$E7)</f>
        <v>-20156736.017236225</v>
      </c>
    </row>
    <row r="8" spans="4:20" x14ac:dyDescent="0.25">
      <c r="D8">
        <f t="shared" si="0"/>
        <v>5</v>
      </c>
      <c r="E8">
        <f>MATCH(D8,'Financial Model'!$E$237:$E$328,0)</f>
        <v>9</v>
      </c>
      <c r="F8" t="str">
        <f>INDEX('Financial Model'!$D$237:$D$328,'Graph Data'!E8)</f>
        <v>COGS as Pct of Revenues</v>
      </c>
      <c r="I8" s="3">
        <f>INDEX('Financial Model'!I$237:I$328,'Graph Data'!$E8)</f>
        <v>0.2529261210902265</v>
      </c>
      <c r="J8" s="3">
        <f>INDEX('Financial Model'!J$237:J$328,'Graph Data'!$E8)</f>
        <v>0.22674418194674159</v>
      </c>
      <c r="K8" s="3">
        <f>INDEX('Financial Model'!K$237:K$328,'Graph Data'!$E8)</f>
        <v>0.28300499490989145</v>
      </c>
      <c r="L8" s="3">
        <f>INDEX('Financial Model'!L$237:L$328,'Graph Data'!$E8)</f>
        <v>0.26909493377809252</v>
      </c>
      <c r="M8" s="3">
        <f>INDEX('Financial Model'!M$237:M$328,'Graph Data'!$E8)</f>
        <v>0.26909493377809252</v>
      </c>
      <c r="N8" s="3">
        <f>INDEX('Financial Model'!N$237:N$328,'Graph Data'!$E8)</f>
        <v>0.26909493377809252</v>
      </c>
      <c r="O8" s="3">
        <f>INDEX('Financial Model'!O$237:O$328,'Graph Data'!$E8)</f>
        <v>0.26909493377809252</v>
      </c>
      <c r="P8" s="3">
        <f>INDEX('Financial Model'!P$237:P$328,'Graph Data'!$E8)</f>
        <v>0.26909493377809252</v>
      </c>
      <c r="Q8" s="3">
        <f>INDEX('Financial Model'!Q$237:Q$328,'Graph Data'!$E8)</f>
        <v>0.26909493377809252</v>
      </c>
      <c r="R8" s="3">
        <f>INDEX('Financial Model'!R$237:R$328,'Graph Data'!$E8)</f>
        <v>0.26909493377809252</v>
      </c>
      <c r="S8" s="3">
        <f>INDEX('Financial Model'!S$237:S$328,'Graph Data'!$E8)</f>
        <v>0.26909493377809252</v>
      </c>
      <c r="T8" s="3">
        <f>INDEX('Financial Model'!T$237:T$328,'Graph Data'!$E8)</f>
        <v>0.26909493377809252</v>
      </c>
    </row>
    <row r="9" spans="4:20" x14ac:dyDescent="0.25">
      <c r="D9">
        <f t="shared" si="0"/>
        <v>6</v>
      </c>
      <c r="E9">
        <f>MATCH(D9,'Financial Model'!$E$237:$E$328,0)</f>
        <v>10</v>
      </c>
      <c r="F9" t="str">
        <f>INDEX('Financial Model'!$D$237:$D$328,'Graph Data'!E9)</f>
        <v>COGS Amount</v>
      </c>
      <c r="I9" s="3">
        <f>INDEX('Financial Model'!I$237:I$328,'Graph Data'!$E9)</f>
        <v>957146929.88996994</v>
      </c>
      <c r="J9" s="3">
        <f>INDEX('Financial Model'!J$237:J$328,'Graph Data'!$E9)</f>
        <v>880777972.17455494</v>
      </c>
      <c r="K9" s="3">
        <f>INDEX('Financial Model'!K$237:K$328,'Graph Data'!$E9)</f>
        <v>1551106815.45171</v>
      </c>
      <c r="L9" s="3">
        <f>INDEX('Financial Model'!L$237:L$328,'Graph Data'!$E9)</f>
        <v>1372621773.1294601</v>
      </c>
      <c r="M9" s="3">
        <f>INDEX('Financial Model'!M$237:M$328,'Graph Data'!$E9)</f>
        <v>1509883950.4424062</v>
      </c>
      <c r="N9" s="3">
        <f>INDEX('Financial Model'!N$237:N$328,'Graph Data'!$E9)</f>
        <v>1660872345.4866469</v>
      </c>
      <c r="O9" s="3">
        <f>INDEX('Financial Model'!O$237:O$328,'Graph Data'!$E9)</f>
        <v>1826959580.0353117</v>
      </c>
      <c r="P9" s="3">
        <f>INDEX('Financial Model'!P$237:P$328,'Graph Data'!$E9)</f>
        <v>2009655538.0388429</v>
      </c>
      <c r="Q9" s="3">
        <f>INDEX('Financial Model'!Q$237:Q$328,'Graph Data'!$E9)</f>
        <v>2210621091.8427272</v>
      </c>
      <c r="R9" s="3">
        <f>INDEX('Financial Model'!R$237:R$328,'Graph Data'!$E9)</f>
        <v>2431683201.027</v>
      </c>
      <c r="S9" s="3">
        <f>INDEX('Financial Model'!S$237:S$328,'Graph Data'!$E9)</f>
        <v>2674851521.1297007</v>
      </c>
      <c r="T9" s="3">
        <f>INDEX('Financial Model'!T$237:T$328,'Graph Data'!$E9)</f>
        <v>2942336673.242671</v>
      </c>
    </row>
    <row r="10" spans="4:20" x14ac:dyDescent="0.25">
      <c r="D10">
        <f t="shared" si="0"/>
        <v>7</v>
      </c>
      <c r="E10">
        <f>MATCH(D10,'Financial Model'!$E$237:$E$328,0)</f>
        <v>12</v>
      </c>
      <c r="F10" t="str">
        <f>INDEX('Financial Model'!$D$237:$D$328,'Graph Data'!E10)</f>
        <v>Salaries Percent Increase</v>
      </c>
      <c r="I10" s="3">
        <f>INDEX('Financial Model'!I$237:I$328,'Graph Data'!$E10)</f>
        <v>0</v>
      </c>
      <c r="J10" s="3">
        <f>INDEX('Financial Model'!J$237:J$328,'Graph Data'!$E10)</f>
        <v>0.3775387365994658</v>
      </c>
      <c r="K10" s="3">
        <f>INDEX('Financial Model'!K$237:K$328,'Graph Data'!$E10)</f>
        <v>5.5071278472516028E-2</v>
      </c>
      <c r="L10" s="3">
        <f>INDEX('Financial Model'!L$237:L$328,'Graph Data'!$E10)</f>
        <v>6.1762726914900146E-3</v>
      </c>
      <c r="M10" s="3">
        <f>INDEX('Financial Model'!M$237:M$328,'Graph Data'!$E10)</f>
        <v>0.1</v>
      </c>
      <c r="N10" s="3">
        <f>INDEX('Financial Model'!N$237:N$328,'Graph Data'!$E10)</f>
        <v>0.1</v>
      </c>
      <c r="O10" s="3">
        <f>INDEX('Financial Model'!O$237:O$328,'Graph Data'!$E10)</f>
        <v>0.1</v>
      </c>
      <c r="P10" s="3">
        <f>INDEX('Financial Model'!P$237:P$328,'Graph Data'!$E10)</f>
        <v>0.1</v>
      </c>
      <c r="Q10" s="3">
        <f>INDEX('Financial Model'!Q$237:Q$328,'Graph Data'!$E10)</f>
        <v>0.1</v>
      </c>
      <c r="R10" s="3">
        <f>INDEX('Financial Model'!R$237:R$328,'Graph Data'!$E10)</f>
        <v>0.1</v>
      </c>
      <c r="S10" s="3">
        <f>INDEX('Financial Model'!S$237:S$328,'Graph Data'!$E10)</f>
        <v>0.1</v>
      </c>
      <c r="T10" s="3">
        <f>INDEX('Financial Model'!T$237:T$328,'Graph Data'!$E10)</f>
        <v>0.1</v>
      </c>
    </row>
    <row r="11" spans="4:20" x14ac:dyDescent="0.25">
      <c r="D11">
        <f t="shared" si="0"/>
        <v>8</v>
      </c>
      <c r="E11">
        <f>MATCH(D11,'Financial Model'!$E$237:$E$328,0)</f>
        <v>13</v>
      </c>
      <c r="F11" t="str">
        <f>INDEX('Financial Model'!$D$237:$D$328,'Graph Data'!E11)</f>
        <v>Salaries Amount</v>
      </c>
      <c r="I11" s="3">
        <f>INDEX('Financial Model'!I$237:I$328,'Graph Data'!$E11)</f>
        <v>862981910.15999997</v>
      </c>
      <c r="J11" s="3">
        <f>INDEX('Financial Model'!J$237:J$328,'Graph Data'!$E11)</f>
        <v>1188791010.23</v>
      </c>
      <c r="K11" s="3">
        <f>INDEX('Financial Model'!K$237:K$328,'Graph Data'!$E11)</f>
        <v>1254259251</v>
      </c>
      <c r="L11" s="3">
        <f>INDEX('Financial Model'!L$237:L$328,'Graph Data'!$E11)</f>
        <v>1262005898.1600001</v>
      </c>
      <c r="M11" s="3">
        <f>INDEX('Financial Model'!M$237:M$328,'Graph Data'!$E11)</f>
        <v>1388206487.9760003</v>
      </c>
      <c r="N11" s="3">
        <f>INDEX('Financial Model'!N$237:N$328,'Graph Data'!$E11)</f>
        <v>1527027136.7736006</v>
      </c>
      <c r="O11" s="3">
        <f>INDEX('Financial Model'!O$237:O$328,'Graph Data'!$E11)</f>
        <v>1679729850.4509609</v>
      </c>
      <c r="P11" s="3">
        <f>INDEX('Financial Model'!P$237:P$328,'Graph Data'!$E11)</f>
        <v>1847702835.496057</v>
      </c>
      <c r="Q11" s="3">
        <f>INDEX('Financial Model'!Q$237:Q$328,'Graph Data'!$E11)</f>
        <v>2032473119.0456629</v>
      </c>
      <c r="R11" s="3">
        <f>INDEX('Financial Model'!R$237:R$328,'Graph Data'!$E11)</f>
        <v>2235720430.9502292</v>
      </c>
      <c r="S11" s="3">
        <f>INDEX('Financial Model'!S$237:S$328,'Graph Data'!$E11)</f>
        <v>2459292474.0452523</v>
      </c>
      <c r="T11" s="3">
        <f>INDEX('Financial Model'!T$237:T$328,'Graph Data'!$E11)</f>
        <v>2705221721.4497776</v>
      </c>
    </row>
    <row r="12" spans="4:20" x14ac:dyDescent="0.25">
      <c r="D12">
        <f t="shared" si="0"/>
        <v>9</v>
      </c>
      <c r="E12">
        <f>MATCH(D12,'Financial Model'!$E$237:$E$328,0)</f>
        <v>15</v>
      </c>
      <c r="F12" t="str">
        <f>INDEX('Financial Model'!$D$237:$D$328,'Graph Data'!E12)</f>
        <v>Social Remuneriation as % of Salaries</v>
      </c>
      <c r="I12" s="3">
        <f>INDEX('Financial Model'!I$237:I$328,'Graph Data'!$E12)</f>
        <v>8.3517057138123879E-2</v>
      </c>
      <c r="J12" s="3">
        <f>INDEX('Financial Model'!J$237:J$328,'Graph Data'!$E12)</f>
        <v>9.3138366766903943E-2</v>
      </c>
      <c r="K12" s="3">
        <f>INDEX('Financial Model'!K$237:K$328,'Graph Data'!$E12)</f>
        <v>0.12196438496908482</v>
      </c>
      <c r="L12" s="3">
        <f>INDEX('Financial Model'!L$237:L$328,'Graph Data'!$E12)</f>
        <v>0.12244102296612992</v>
      </c>
      <c r="M12" s="3">
        <f>INDEX('Financial Model'!M$237:M$328,'Graph Data'!$E12)</f>
        <v>0.10526520796006064</v>
      </c>
      <c r="N12" s="3">
        <f>INDEX('Financial Model'!N$237:N$328,'Graph Data'!$E12)</f>
        <v>0.10526520796006064</v>
      </c>
      <c r="O12" s="3">
        <f>INDEX('Financial Model'!O$237:O$328,'Graph Data'!$E12)</f>
        <v>0.10526520796006064</v>
      </c>
      <c r="P12" s="3">
        <f>INDEX('Financial Model'!P$237:P$328,'Graph Data'!$E12)</f>
        <v>0.10526520796006064</v>
      </c>
      <c r="Q12" s="3">
        <f>INDEX('Financial Model'!Q$237:Q$328,'Graph Data'!$E12)</f>
        <v>0.10526520796006064</v>
      </c>
      <c r="R12" s="3">
        <f>INDEX('Financial Model'!R$237:R$328,'Graph Data'!$E12)</f>
        <v>0.10526520796006064</v>
      </c>
      <c r="S12" s="3">
        <f>INDEX('Financial Model'!S$237:S$328,'Graph Data'!$E12)</f>
        <v>0.10526520796006064</v>
      </c>
      <c r="T12" s="3">
        <f>INDEX('Financial Model'!T$237:T$328,'Graph Data'!$E12)</f>
        <v>0.10526520796006064</v>
      </c>
    </row>
    <row r="13" spans="4:20" x14ac:dyDescent="0.25">
      <c r="D13">
        <f t="shared" si="0"/>
        <v>10</v>
      </c>
      <c r="E13">
        <f>MATCH(D13,'Financial Model'!$E$237:$E$328,0)</f>
        <v>16</v>
      </c>
      <c r="F13" t="str">
        <f>INDEX('Financial Model'!$D$237:$D$328,'Graph Data'!E13)</f>
        <v>Social Remuneriation Expense</v>
      </c>
      <c r="I13" s="3">
        <f>INDEX('Financial Model'!I$237:I$328,'Graph Data'!$E13)</f>
        <v>72073709.5</v>
      </c>
      <c r="J13" s="3">
        <f>INDEX('Financial Model'!J$237:J$328,'Graph Data'!$E13)</f>
        <v>110722053.12</v>
      </c>
      <c r="K13" s="3">
        <f>INDEX('Financial Model'!K$237:K$328,'Graph Data'!$E13)</f>
        <v>152974958.13999999</v>
      </c>
      <c r="L13" s="3">
        <f>INDEX('Financial Model'!L$237:L$328,'Graph Data'!$E13)</f>
        <v>154521293.16</v>
      </c>
      <c r="M13" s="3">
        <f>INDEX('Financial Model'!M$237:M$328,'Graph Data'!$E13)</f>
        <v>146129844.6482991</v>
      </c>
      <c r="N13" s="3">
        <f>INDEX('Financial Model'!N$237:N$328,'Graph Data'!$E13)</f>
        <v>160742829.11312902</v>
      </c>
      <c r="O13" s="3">
        <f>INDEX('Financial Model'!O$237:O$328,'Graph Data'!$E13)</f>
        <v>176817112.02444196</v>
      </c>
      <c r="P13" s="3">
        <f>INDEX('Financial Model'!P$237:P$328,'Graph Data'!$E13)</f>
        <v>194498823.22688615</v>
      </c>
      <c r="Q13" s="3">
        <f>INDEX('Financial Model'!Q$237:Q$328,'Graph Data'!$E13)</f>
        <v>213948705.54957479</v>
      </c>
      <c r="R13" s="3">
        <f>INDEX('Financial Model'!R$237:R$328,'Graph Data'!$E13)</f>
        <v>235343576.10453227</v>
      </c>
      <c r="S13" s="3">
        <f>INDEX('Financial Model'!S$237:S$328,'Graph Data'!$E13)</f>
        <v>258877933.71498552</v>
      </c>
      <c r="T13" s="3">
        <f>INDEX('Financial Model'!T$237:T$328,'Graph Data'!$E13)</f>
        <v>284765727.08648407</v>
      </c>
    </row>
    <row r="14" spans="4:20" x14ac:dyDescent="0.25">
      <c r="D14">
        <f t="shared" si="0"/>
        <v>11</v>
      </c>
      <c r="E14">
        <f>MATCH(D14,'Financial Model'!$E$237:$E$328,0)</f>
        <v>18</v>
      </c>
      <c r="F14" t="str">
        <f>INDEX('Financial Model'!$D$237:$D$328,'Graph Data'!E14)</f>
        <v>Maintenance Percent of Fixed Assets</v>
      </c>
      <c r="I14" s="3">
        <f>INDEX('Financial Model'!I$237:I$328,'Graph Data'!$E14)</f>
        <v>6.7171690267931933E-2</v>
      </c>
      <c r="J14" s="3">
        <f>INDEX('Financial Model'!J$237:J$328,'Graph Data'!$E14)</f>
        <v>6.2093593567199283E-2</v>
      </c>
      <c r="K14" s="3">
        <f>INDEX('Financial Model'!K$237:K$328,'Graph Data'!$E14)</f>
        <v>6.9031922821020705E-2</v>
      </c>
      <c r="L14" s="3">
        <f>INDEX('Financial Model'!L$237:L$328,'Graph Data'!$E14)</f>
        <v>5.4808934734291409E-2</v>
      </c>
      <c r="M14" s="3">
        <f>INDEX('Financial Model'!M$237:M$328,'Graph Data'!$E14)</f>
        <v>6.3276535347610824E-2</v>
      </c>
      <c r="N14" s="3">
        <f>INDEX('Financial Model'!N$237:N$328,'Graph Data'!$E14)</f>
        <v>6.3276535347610824E-2</v>
      </c>
      <c r="O14" s="3">
        <f>INDEX('Financial Model'!O$237:O$328,'Graph Data'!$E14)</f>
        <v>6.3276535347610824E-2</v>
      </c>
      <c r="P14" s="3">
        <f>INDEX('Financial Model'!P$237:P$328,'Graph Data'!$E14)</f>
        <v>6.3276535347610824E-2</v>
      </c>
      <c r="Q14" s="3">
        <f>INDEX('Financial Model'!Q$237:Q$328,'Graph Data'!$E14)</f>
        <v>6.3276535347610824E-2</v>
      </c>
      <c r="R14" s="3">
        <f>INDEX('Financial Model'!R$237:R$328,'Graph Data'!$E14)</f>
        <v>6.3276535347610824E-2</v>
      </c>
      <c r="S14" s="3">
        <f>INDEX('Financial Model'!S$237:S$328,'Graph Data'!$E14)</f>
        <v>6.3276535347610824E-2</v>
      </c>
      <c r="T14" s="3">
        <f>INDEX('Financial Model'!T$237:T$328,'Graph Data'!$E14)</f>
        <v>6.3276535347610824E-2</v>
      </c>
    </row>
    <row r="15" spans="4:20" x14ac:dyDescent="0.25">
      <c r="D15">
        <f t="shared" si="0"/>
        <v>12</v>
      </c>
      <c r="E15">
        <f>MATCH(D15,'Financial Model'!$E$237:$E$328,0)</f>
        <v>19</v>
      </c>
      <c r="F15" t="str">
        <f>INDEX('Financial Model'!$D$237:$D$328,'Graph Data'!E15)</f>
        <v>Maintenance Amount</v>
      </c>
      <c r="I15" s="3">
        <f>INDEX('Financial Model'!I$237:I$328,'Graph Data'!$E15)</f>
        <v>56614895.447899997</v>
      </c>
      <c r="J15" s="3">
        <f>INDEX('Financial Model'!J$237:J$328,'Graph Data'!$E15)</f>
        <v>64368583.720739998</v>
      </c>
      <c r="K15" s="3">
        <f>INDEX('Financial Model'!K$237:K$328,'Graph Data'!$E15)</f>
        <v>71339300.051720902</v>
      </c>
      <c r="L15" s="3">
        <f>INDEX('Financial Model'!L$237:L$328,'Graph Data'!$E15)</f>
        <v>58775938.748011701</v>
      </c>
      <c r="M15" s="3">
        <f>INDEX('Financial Model'!M$237:M$328,'Graph Data'!$E15)</f>
        <v>71077770.987223819</v>
      </c>
      <c r="N15" s="3">
        <f>INDEX('Financial Model'!N$237:N$328,'Graph Data'!$E15)</f>
        <v>75067420.874238938</v>
      </c>
      <c r="O15" s="3">
        <f>INDEX('Financial Model'!O$237:O$328,'Graph Data'!$E15)</f>
        <v>79846345.479349837</v>
      </c>
      <c r="P15" s="3">
        <f>INDEX('Financial Model'!P$237:P$328,'Graph Data'!$E15)</f>
        <v>85444615.484852225</v>
      </c>
      <c r="Q15" s="3">
        <f>INDEX('Financial Model'!Q$237:Q$328,'Graph Data'!$E15)</f>
        <v>91901424.261000633</v>
      </c>
      <c r="R15" s="3">
        <f>INDEX('Financial Model'!R$237:R$328,'Graph Data'!$E15)</f>
        <v>99265234.61572203</v>
      </c>
      <c r="S15" s="3">
        <f>INDEX('Financial Model'!S$237:S$328,'Graph Data'!$E15)</f>
        <v>107594036.04269898</v>
      </c>
      <c r="T15" s="3">
        <f>INDEX('Financial Model'!T$237:T$328,'Graph Data'!$E15)</f>
        <v>116955711.52302255</v>
      </c>
    </row>
    <row r="16" spans="4:20" x14ac:dyDescent="0.25">
      <c r="D16">
        <f t="shared" si="0"/>
        <v>13</v>
      </c>
      <c r="E16">
        <f>MATCH(D16,'Financial Model'!$E$237:$E$328,0)</f>
        <v>21</v>
      </c>
      <c r="F16" t="str">
        <f>INDEX('Financial Model'!$D$237:$D$328,'Graph Data'!E16)</f>
        <v>Utilities Percent of Revenues</v>
      </c>
      <c r="I16" s="3">
        <f>INDEX('Financial Model'!I$237:I$328,'Graph Data'!$E16)</f>
        <v>1.9195674247476164E-2</v>
      </c>
      <c r="J16" s="3">
        <f>INDEX('Financial Model'!J$237:J$328,'Graph Data'!$E16)</f>
        <v>2.0423197800248372E-2</v>
      </c>
      <c r="K16" s="3">
        <f>INDEX('Financial Model'!K$237:K$328,'Graph Data'!$E16)</f>
        <v>2.0435929629281334E-2</v>
      </c>
      <c r="L16" s="3">
        <f>INDEX('Financial Model'!L$237:L$328,'Graph Data'!$E16)</f>
        <v>2.5422372245496584E-2</v>
      </c>
      <c r="M16" s="3">
        <f>INDEX('Financial Model'!M$237:M$328,'Graph Data'!$E16)</f>
        <v>2.5422372245496584E-2</v>
      </c>
      <c r="N16" s="3">
        <f>INDEX('Financial Model'!N$237:N$328,'Graph Data'!$E16)</f>
        <v>2.5422372245496584E-2</v>
      </c>
      <c r="O16" s="3">
        <f>INDEX('Financial Model'!O$237:O$328,'Graph Data'!$E16)</f>
        <v>2.5422372245496584E-2</v>
      </c>
      <c r="P16" s="3">
        <f>INDEX('Financial Model'!P$237:P$328,'Graph Data'!$E16)</f>
        <v>2.5422372245496584E-2</v>
      </c>
      <c r="Q16" s="3">
        <f>INDEX('Financial Model'!Q$237:Q$328,'Graph Data'!$E16)</f>
        <v>2.5422372245496584E-2</v>
      </c>
      <c r="R16" s="3">
        <f>INDEX('Financial Model'!R$237:R$328,'Graph Data'!$E16)</f>
        <v>2.5422372245496584E-2</v>
      </c>
      <c r="S16" s="3">
        <f>INDEX('Financial Model'!S$237:S$328,'Graph Data'!$E16)</f>
        <v>2.5422372245496584E-2</v>
      </c>
      <c r="T16" s="3">
        <f>INDEX('Financial Model'!T$237:T$328,'Graph Data'!$E16)</f>
        <v>2.5422372245496584E-2</v>
      </c>
    </row>
    <row r="17" spans="4:20" x14ac:dyDescent="0.25">
      <c r="D17">
        <f t="shared" si="0"/>
        <v>14</v>
      </c>
      <c r="E17">
        <f>MATCH(D17,'Financial Model'!$E$237:$E$328,0)</f>
        <v>22</v>
      </c>
      <c r="F17" t="str">
        <f>INDEX('Financial Model'!$D$237:$D$328,'Graph Data'!E17)</f>
        <v>Utilities Expense</v>
      </c>
      <c r="I17" s="3">
        <f>INDEX('Financial Model'!I$237:I$328,'Graph Data'!$E17)</f>
        <v>72642084.549999997</v>
      </c>
      <c r="J17" s="3">
        <f>INDEX('Financial Model'!J$237:J$328,'Graph Data'!$E17)</f>
        <v>79333028.920000002</v>
      </c>
      <c r="K17" s="3">
        <f>INDEX('Financial Model'!K$237:K$328,'Graph Data'!$E17)</f>
        <v>112006184.69</v>
      </c>
      <c r="L17" s="3">
        <f>INDEX('Financial Model'!L$237:L$328,'Graph Data'!$E17)</f>
        <v>129676546.41</v>
      </c>
      <c r="M17" s="3">
        <f>INDEX('Financial Model'!M$237:M$328,'Graph Data'!$E17)</f>
        <v>142644201.051</v>
      </c>
      <c r="N17" s="3">
        <f>INDEX('Financial Model'!N$237:N$328,'Graph Data'!$E17)</f>
        <v>156908621.15610003</v>
      </c>
      <c r="O17" s="3">
        <f>INDEX('Financial Model'!O$237:O$328,'Graph Data'!$E17)</f>
        <v>172599483.27171004</v>
      </c>
      <c r="P17" s="3">
        <f>INDEX('Financial Model'!P$237:P$328,'Graph Data'!$E17)</f>
        <v>189859431.59888107</v>
      </c>
      <c r="Q17" s="3">
        <f>INDEX('Financial Model'!Q$237:Q$328,'Graph Data'!$E17)</f>
        <v>208845374.75876918</v>
      </c>
      <c r="R17" s="3">
        <f>INDEX('Financial Model'!R$237:R$328,'Graph Data'!$E17)</f>
        <v>229729912.23464611</v>
      </c>
      <c r="S17" s="3">
        <f>INDEX('Financial Model'!S$237:S$328,'Graph Data'!$E17)</f>
        <v>252702903.45811075</v>
      </c>
      <c r="T17" s="3">
        <f>INDEX('Financial Model'!T$237:T$328,'Graph Data'!$E17)</f>
        <v>277973193.80392188</v>
      </c>
    </row>
    <row r="18" spans="4:20" x14ac:dyDescent="0.25">
      <c r="D18">
        <f t="shared" si="0"/>
        <v>15</v>
      </c>
      <c r="E18">
        <f>MATCH(D18,'Financial Model'!$E$237:$E$328,0)</f>
        <v>24</v>
      </c>
      <c r="F18" t="str">
        <f>INDEX('Financial Model'!$D$237:$D$328,'Graph Data'!E18)</f>
        <v>Travel Percent of Salaries</v>
      </c>
      <c r="I18" s="3">
        <f>INDEX('Financial Model'!I$237:I$328,'Graph Data'!$E18)</f>
        <v>3.3633089707081704E-2</v>
      </c>
      <c r="J18" s="3">
        <f>INDEX('Financial Model'!J$237:J$328,'Graph Data'!$E18)</f>
        <v>1.3038114897084587E-2</v>
      </c>
      <c r="K18" s="3">
        <f>INDEX('Financial Model'!K$237:K$328,'Graph Data'!$E18)</f>
        <v>2.5952348052484087E-2</v>
      </c>
      <c r="L18" s="3">
        <f>INDEX('Financial Model'!L$237:L$328,'Graph Data'!$E18)</f>
        <v>1.7234431773822414E-2</v>
      </c>
      <c r="M18" s="3">
        <f>INDEX('Financial Model'!M$237:M$328,'Graph Data'!$E18)</f>
        <v>1.7234431773822414E-2</v>
      </c>
      <c r="N18" s="3">
        <f>INDEX('Financial Model'!N$237:N$328,'Graph Data'!$E18)</f>
        <v>1.7234431773822414E-2</v>
      </c>
      <c r="O18" s="3">
        <f>INDEX('Financial Model'!O$237:O$328,'Graph Data'!$E18)</f>
        <v>1.7234431773822414E-2</v>
      </c>
      <c r="P18" s="3">
        <f>INDEX('Financial Model'!P$237:P$328,'Graph Data'!$E18)</f>
        <v>1.7234431773822414E-2</v>
      </c>
      <c r="Q18" s="3">
        <f>INDEX('Financial Model'!Q$237:Q$328,'Graph Data'!$E18)</f>
        <v>1.7234431773822414E-2</v>
      </c>
      <c r="R18" s="3">
        <f>INDEX('Financial Model'!R$237:R$328,'Graph Data'!$E18)</f>
        <v>1.7234431773822414E-2</v>
      </c>
      <c r="S18" s="3">
        <f>INDEX('Financial Model'!S$237:S$328,'Graph Data'!$E18)</f>
        <v>1.7234431773822414E-2</v>
      </c>
      <c r="T18" s="3">
        <f>INDEX('Financial Model'!T$237:T$328,'Graph Data'!$E18)</f>
        <v>1.7234431773822414E-2</v>
      </c>
    </row>
    <row r="19" spans="4:20" x14ac:dyDescent="0.25">
      <c r="D19">
        <f t="shared" si="0"/>
        <v>16</v>
      </c>
      <c r="E19">
        <f>MATCH(D19,'Financial Model'!$E$237:$E$328,0)</f>
        <v>25</v>
      </c>
      <c r="F19" t="str">
        <f>INDEX('Financial Model'!$D$237:$D$328,'Graph Data'!E19)</f>
        <v>Travel Expense</v>
      </c>
      <c r="I19" s="3">
        <f>INDEX('Financial Model'!I$237:I$328,'Graph Data'!$E19)</f>
        <v>29024748.000000004</v>
      </c>
      <c r="J19" s="3">
        <f>INDEX('Financial Model'!J$237:J$328,'Graph Data'!$E19)</f>
        <v>15499593.779999999</v>
      </c>
      <c r="K19" s="3">
        <f>INDEX('Financial Model'!K$237:K$328,'Graph Data'!$E19)</f>
        <v>32550972.629999999</v>
      </c>
      <c r="L19" s="3">
        <f>INDEX('Financial Model'!L$237:L$328,'Graph Data'!$E19)</f>
        <v>21749954.549999997</v>
      </c>
      <c r="M19" s="3">
        <f>INDEX('Financial Model'!M$237:M$328,'Graph Data'!$E19)</f>
        <v>23924950.005000003</v>
      </c>
      <c r="N19" s="3">
        <f>INDEX('Financial Model'!N$237:N$328,'Graph Data'!$E19)</f>
        <v>26317445.005500007</v>
      </c>
      <c r="O19" s="3">
        <f>INDEX('Financial Model'!O$237:O$328,'Graph Data'!$E19)</f>
        <v>28949189.506050013</v>
      </c>
      <c r="P19" s="3">
        <f>INDEX('Financial Model'!P$237:P$328,'Graph Data'!$E19)</f>
        <v>31844108.456655014</v>
      </c>
      <c r="Q19" s="3">
        <f>INDEX('Financial Model'!Q$237:Q$328,'Graph Data'!$E19)</f>
        <v>35028519.302320518</v>
      </c>
      <c r="R19" s="3">
        <f>INDEX('Financial Model'!R$237:R$328,'Graph Data'!$E19)</f>
        <v>38531371.232552573</v>
      </c>
      <c r="S19" s="3">
        <f>INDEX('Financial Model'!S$237:S$328,'Graph Data'!$E19)</f>
        <v>42384508.355807833</v>
      </c>
      <c r="T19" s="3">
        <f>INDEX('Financial Model'!T$237:T$328,'Graph Data'!$E19)</f>
        <v>46622959.191388614</v>
      </c>
    </row>
    <row r="20" spans="4:20" x14ac:dyDescent="0.25">
      <c r="D20">
        <f t="shared" si="0"/>
        <v>17</v>
      </c>
      <c r="E20">
        <f>MATCH(D20,'Financial Model'!$E$237:$E$328,0)</f>
        <v>27</v>
      </c>
      <c r="F20" t="str">
        <f>INDEX('Financial Model'!$D$237:$D$328,'Graph Data'!E20)</f>
        <v>Rent Expense Percent Increase</v>
      </c>
      <c r="I20" s="3">
        <f>INDEX('Financial Model'!I$237:I$328,'Graph Data'!$E20)</f>
        <v>0</v>
      </c>
      <c r="J20" s="3">
        <f>INDEX('Financial Model'!J$237:J$328,'Graph Data'!$E20)</f>
        <v>6.1407769635746234E-2</v>
      </c>
      <c r="K20" s="3">
        <f>INDEX('Financial Model'!K$237:K$328,'Graph Data'!$E20)</f>
        <v>5.8644012921649891E-2</v>
      </c>
      <c r="L20" s="3">
        <f>INDEX('Financial Model'!L$237:L$328,'Graph Data'!$E20)</f>
        <v>1.4839855031201648</v>
      </c>
      <c r="M20" s="3">
        <f>INDEX('Financial Model'!M$237:M$328,'Graph Data'!$E20)</f>
        <v>0.1</v>
      </c>
      <c r="N20" s="3">
        <f>INDEX('Financial Model'!N$237:N$328,'Graph Data'!$E20)</f>
        <v>0.1</v>
      </c>
      <c r="O20" s="3">
        <f>INDEX('Financial Model'!O$237:O$328,'Graph Data'!$E20)</f>
        <v>0.1</v>
      </c>
      <c r="P20" s="3">
        <f>INDEX('Financial Model'!P$237:P$328,'Graph Data'!$E20)</f>
        <v>0.1</v>
      </c>
      <c r="Q20" s="3">
        <f>INDEX('Financial Model'!Q$237:Q$328,'Graph Data'!$E20)</f>
        <v>0.1</v>
      </c>
      <c r="R20" s="3">
        <f>INDEX('Financial Model'!R$237:R$328,'Graph Data'!$E20)</f>
        <v>0.1</v>
      </c>
      <c r="S20" s="3">
        <f>INDEX('Financial Model'!S$237:S$328,'Graph Data'!$E20)</f>
        <v>0.1</v>
      </c>
      <c r="T20" s="3">
        <f>INDEX('Financial Model'!T$237:T$328,'Graph Data'!$E20)</f>
        <v>0.1</v>
      </c>
    </row>
    <row r="21" spans="4:20" x14ac:dyDescent="0.25">
      <c r="D21">
        <f t="shared" si="0"/>
        <v>18</v>
      </c>
      <c r="E21">
        <f>MATCH(D21,'Financial Model'!$E$237:$E$328,0)</f>
        <v>28</v>
      </c>
      <c r="F21" t="str">
        <f>INDEX('Financial Model'!$D$237:$D$328,'Graph Data'!E21)</f>
        <v xml:space="preserve">Rent Expense  </v>
      </c>
      <c r="I21" s="3">
        <f>INDEX('Financial Model'!I$237:I$328,'Graph Data'!$E21)</f>
        <v>191626512.56999999</v>
      </c>
      <c r="J21" s="3">
        <f>INDEX('Financial Model'!J$237:J$328,'Graph Data'!$E21)</f>
        <v>203393869.31</v>
      </c>
      <c r="K21" s="3">
        <f>INDEX('Financial Model'!K$237:K$328,'Graph Data'!$E21)</f>
        <v>215321702.00999999</v>
      </c>
      <c r="L21" s="3">
        <f>INDEX('Financial Model'!L$237:L$328,'Graph Data'!$E21)</f>
        <v>534855986.30000001</v>
      </c>
      <c r="M21" s="3">
        <f>INDEX('Financial Model'!M$237:M$328,'Graph Data'!$E21)</f>
        <v>588341584.93000007</v>
      </c>
      <c r="N21" s="3">
        <f>INDEX('Financial Model'!N$237:N$328,'Graph Data'!$E21)</f>
        <v>647175743.4230001</v>
      </c>
      <c r="O21" s="3">
        <f>INDEX('Financial Model'!O$237:O$328,'Graph Data'!$E21)</f>
        <v>711893317.76530015</v>
      </c>
      <c r="P21" s="3">
        <f>INDEX('Financial Model'!P$237:P$328,'Graph Data'!$E21)</f>
        <v>783082649.54183018</v>
      </c>
      <c r="Q21" s="3">
        <f>INDEX('Financial Model'!Q$237:Q$328,'Graph Data'!$E21)</f>
        <v>861390914.49601328</v>
      </c>
      <c r="R21" s="3">
        <f>INDEX('Financial Model'!R$237:R$328,'Graph Data'!$E21)</f>
        <v>947530005.9456147</v>
      </c>
      <c r="S21" s="3">
        <f>INDEX('Financial Model'!S$237:S$328,'Graph Data'!$E21)</f>
        <v>1042283006.5401763</v>
      </c>
      <c r="T21" s="3">
        <f>INDEX('Financial Model'!T$237:T$328,'Graph Data'!$E21)</f>
        <v>1146511307.1941941</v>
      </c>
    </row>
    <row r="22" spans="4:20" x14ac:dyDescent="0.25">
      <c r="D22">
        <f t="shared" si="0"/>
        <v>19</v>
      </c>
      <c r="E22">
        <f>MATCH(D22,'Financial Model'!$E$237:$E$328,0)</f>
        <v>30</v>
      </c>
      <c r="F22" t="str">
        <f>INDEX('Financial Model'!$D$237:$D$328,'Graph Data'!E22)</f>
        <v>Transportation Percent of Sales</v>
      </c>
      <c r="I22" s="3">
        <f>INDEX('Financial Model'!I$237:I$328,'Graph Data'!$E22)</f>
        <v>7.0404412483704793E-3</v>
      </c>
      <c r="J22" s="3">
        <f>INDEX('Financial Model'!J$237:J$328,'Graph Data'!$E22)</f>
        <v>2.8981980421700147E-3</v>
      </c>
      <c r="K22" s="3">
        <f>INDEX('Financial Model'!K$237:K$328,'Graph Data'!$E22)</f>
        <v>2.031765688796117E-3</v>
      </c>
      <c r="L22" s="3">
        <f>INDEX('Financial Model'!L$237:L$328,'Graph Data'!$E22)</f>
        <v>1.8332564283015038E-3</v>
      </c>
      <c r="M22" s="3">
        <f>INDEX('Financial Model'!M$237:M$328,'Graph Data'!$E22)</f>
        <v>1.8332564283015038E-3</v>
      </c>
      <c r="N22" s="3">
        <f>INDEX('Financial Model'!N$237:N$328,'Graph Data'!$E22)</f>
        <v>1.8332564283015038E-3</v>
      </c>
      <c r="O22" s="3">
        <f>INDEX('Financial Model'!O$237:O$328,'Graph Data'!$E22)</f>
        <v>1.8332564283015038E-3</v>
      </c>
      <c r="P22" s="3">
        <f>INDEX('Financial Model'!P$237:P$328,'Graph Data'!$E22)</f>
        <v>1.8332564283015038E-3</v>
      </c>
      <c r="Q22" s="3">
        <f>INDEX('Financial Model'!Q$237:Q$328,'Graph Data'!$E22)</f>
        <v>1.8332564283015038E-3</v>
      </c>
      <c r="R22" s="3">
        <f>INDEX('Financial Model'!R$237:R$328,'Graph Data'!$E22)</f>
        <v>1.8332564283015038E-3</v>
      </c>
      <c r="S22" s="3">
        <f>INDEX('Financial Model'!S$237:S$328,'Graph Data'!$E22)</f>
        <v>1.8332564283015038E-3</v>
      </c>
      <c r="T22" s="3">
        <f>INDEX('Financial Model'!T$237:T$328,'Graph Data'!$E22)</f>
        <v>1.8332564283015038E-3</v>
      </c>
    </row>
    <row r="23" spans="4:20" x14ac:dyDescent="0.25">
      <c r="D23">
        <f t="shared" si="0"/>
        <v>20</v>
      </c>
      <c r="E23">
        <f>MATCH(D23,'Financial Model'!$E$237:$E$328,0)</f>
        <v>31</v>
      </c>
      <c r="F23" t="str">
        <f>INDEX('Financial Model'!$D$237:$D$328,'Graph Data'!E23)</f>
        <v>Transportation Expense</v>
      </c>
      <c r="I23" s="3">
        <f>INDEX('Financial Model'!I$237:I$328,'Graph Data'!$E23)</f>
        <v>26643103.120000001</v>
      </c>
      <c r="J23" s="3">
        <f>INDEX('Financial Model'!J$237:J$328,'Graph Data'!$E23)</f>
        <v>11257925</v>
      </c>
      <c r="K23" s="3">
        <f>INDEX('Financial Model'!K$237:K$328,'Graph Data'!$E23)</f>
        <v>11135795.000000002</v>
      </c>
      <c r="L23" s="3">
        <f>INDEX('Financial Model'!L$237:L$328,'Graph Data'!$E23)</f>
        <v>9351226.5500000007</v>
      </c>
      <c r="M23" s="3">
        <f>INDEX('Financial Model'!M$237:M$328,'Graph Data'!$E23)</f>
        <v>10286349.205000002</v>
      </c>
      <c r="N23" s="3">
        <f>INDEX('Financial Model'!N$237:N$328,'Graph Data'!$E23)</f>
        <v>11314984.125500003</v>
      </c>
      <c r="O23" s="3">
        <f>INDEX('Financial Model'!O$237:O$328,'Graph Data'!$E23)</f>
        <v>12446482.538050005</v>
      </c>
      <c r="P23" s="3">
        <f>INDEX('Financial Model'!P$237:P$328,'Graph Data'!$E23)</f>
        <v>13691130.791855006</v>
      </c>
      <c r="Q23" s="3">
        <f>INDEX('Financial Model'!Q$237:Q$328,'Graph Data'!$E23)</f>
        <v>15060243.871040506</v>
      </c>
      <c r="R23" s="3">
        <f>INDEX('Financial Model'!R$237:R$328,'Graph Data'!$E23)</f>
        <v>16566268.258144557</v>
      </c>
      <c r="S23" s="3">
        <f>INDEX('Financial Model'!S$237:S$328,'Graph Data'!$E23)</f>
        <v>18222895.083959017</v>
      </c>
      <c r="T23" s="3">
        <f>INDEX('Financial Model'!T$237:T$328,'Graph Data'!$E23)</f>
        <v>20045184.59235492</v>
      </c>
    </row>
    <row r="24" spans="4:20" x14ac:dyDescent="0.25">
      <c r="D24">
        <f t="shared" si="0"/>
        <v>21</v>
      </c>
      <c r="E24">
        <f>MATCH(D24,'Financial Model'!$E$237:$E$328,0)</f>
        <v>33</v>
      </c>
      <c r="F24" t="str">
        <f>INDEX('Financial Model'!$D$237:$D$328,'Graph Data'!E24)</f>
        <v>Outsourcing Percent Increase</v>
      </c>
      <c r="I24" s="3">
        <f>INDEX('Financial Model'!I$237:I$328,'Graph Data'!$E24)</f>
        <v>0</v>
      </c>
      <c r="J24" s="3">
        <f>INDEX('Financial Model'!J$237:J$328,'Graph Data'!$E24)</f>
        <v>-0.7</v>
      </c>
      <c r="K24" s="3">
        <f>INDEX('Financial Model'!K$237:K$328,'Graph Data'!$E24)</f>
        <v>113</v>
      </c>
      <c r="L24" s="3">
        <f>INDEX('Financial Model'!L$237:L$328,'Graph Data'!$E24)</f>
        <v>-0.90923087719298246</v>
      </c>
      <c r="M24" s="3">
        <f>INDEX('Financial Model'!M$237:M$328,'Graph Data'!$E24)</f>
        <v>0.1</v>
      </c>
      <c r="N24" s="3">
        <f>INDEX('Financial Model'!N$237:N$328,'Graph Data'!$E24)</f>
        <v>0.1</v>
      </c>
      <c r="O24" s="3">
        <f>INDEX('Financial Model'!O$237:O$328,'Graph Data'!$E24)</f>
        <v>0.1</v>
      </c>
      <c r="P24" s="3">
        <f>INDEX('Financial Model'!P$237:P$328,'Graph Data'!$E24)</f>
        <v>0.1</v>
      </c>
      <c r="Q24" s="3">
        <f>INDEX('Financial Model'!Q$237:Q$328,'Graph Data'!$E24)</f>
        <v>0.1</v>
      </c>
      <c r="R24" s="3">
        <f>INDEX('Financial Model'!R$237:R$328,'Graph Data'!$E24)</f>
        <v>0.1</v>
      </c>
      <c r="S24" s="3">
        <f>INDEX('Financial Model'!S$237:S$328,'Graph Data'!$E24)</f>
        <v>0.1</v>
      </c>
      <c r="T24" s="3">
        <f>INDEX('Financial Model'!T$237:T$328,'Graph Data'!$E24)</f>
        <v>0.1</v>
      </c>
    </row>
    <row r="25" spans="4:20" x14ac:dyDescent="0.25">
      <c r="D25">
        <f t="shared" si="0"/>
        <v>22</v>
      </c>
      <c r="E25">
        <f>MATCH(D25,'Financial Model'!$E$237:$E$328,0)</f>
        <v>34</v>
      </c>
      <c r="F25" t="str">
        <f>INDEX('Financial Model'!$D$237:$D$328,'Graph Data'!E25)</f>
        <v xml:space="preserve">Outsourcing  </v>
      </c>
      <c r="I25" s="3">
        <f>INDEX('Financial Model'!I$237:I$328,'Graph Data'!$E25)</f>
        <v>500000</v>
      </c>
      <c r="J25" s="3">
        <f>INDEX('Financial Model'!J$237:J$328,'Graph Data'!$E25)</f>
        <v>150000</v>
      </c>
      <c r="K25" s="3">
        <f>INDEX('Financial Model'!K$237:K$328,'Graph Data'!$E25)</f>
        <v>17100000</v>
      </c>
      <c r="L25" s="3">
        <f>INDEX('Financial Model'!L$237:L$328,'Graph Data'!$E25)</f>
        <v>1552152</v>
      </c>
      <c r="M25" s="3">
        <f>INDEX('Financial Model'!M$237:M$328,'Graph Data'!$E25)</f>
        <v>1707367.2000000002</v>
      </c>
      <c r="N25" s="3">
        <f>INDEX('Financial Model'!N$237:N$328,'Graph Data'!$E25)</f>
        <v>1878103.9200000004</v>
      </c>
      <c r="O25" s="3">
        <f>INDEX('Financial Model'!O$237:O$328,'Graph Data'!$E25)</f>
        <v>2065914.3120000006</v>
      </c>
      <c r="P25" s="3">
        <f>INDEX('Financial Model'!P$237:P$328,'Graph Data'!$E25)</f>
        <v>2272505.7432000008</v>
      </c>
      <c r="Q25" s="3">
        <f>INDEX('Financial Model'!Q$237:Q$328,'Graph Data'!$E25)</f>
        <v>2499756.317520001</v>
      </c>
      <c r="R25" s="3">
        <f>INDEX('Financial Model'!R$237:R$328,'Graph Data'!$E25)</f>
        <v>2749731.9492720012</v>
      </c>
      <c r="S25" s="3">
        <f>INDEX('Financial Model'!S$237:S$328,'Graph Data'!$E25)</f>
        <v>3024705.1441992014</v>
      </c>
      <c r="T25" s="3">
        <f>INDEX('Financial Model'!T$237:T$328,'Graph Data'!$E25)</f>
        <v>3327175.6586191216</v>
      </c>
    </row>
    <row r="26" spans="4:20" x14ac:dyDescent="0.25">
      <c r="D26">
        <f t="shared" si="0"/>
        <v>23</v>
      </c>
      <c r="E26">
        <f>MATCH(D26,'Financial Model'!$E$237:$E$328,0)</f>
        <v>36</v>
      </c>
      <c r="F26" t="str">
        <f>INDEX('Financial Model'!$D$237:$D$328,'Graph Data'!E26)</f>
        <v>Advertising as Percent of Revenue</v>
      </c>
      <c r="I26" s="3">
        <f>INDEX('Financial Model'!I$237:I$328,'Graph Data'!$E26)</f>
        <v>7.0242421127218995E-3</v>
      </c>
      <c r="J26" s="3">
        <f>INDEX('Financial Model'!J$237:J$328,'Graph Data'!$E26)</f>
        <v>9.3899454765958654E-3</v>
      </c>
      <c r="K26" s="3">
        <f>INDEX('Financial Model'!K$237:K$328,'Graph Data'!$E26)</f>
        <v>5.2730326990558466E-3</v>
      </c>
      <c r="L26" s="3">
        <f>INDEX('Financial Model'!L$237:L$328,'Graph Data'!$E26)</f>
        <v>8.2102994146194749E-3</v>
      </c>
      <c r="M26" s="3">
        <f>INDEX('Financial Model'!M$237:M$328,'Graph Data'!$E26)</f>
        <v>7.4743799257482712E-3</v>
      </c>
      <c r="N26" s="3">
        <f>INDEX('Financial Model'!N$237:N$328,'Graph Data'!$E26)</f>
        <v>7.4743799257482712E-3</v>
      </c>
      <c r="O26" s="3">
        <f>INDEX('Financial Model'!O$237:O$328,'Graph Data'!$E26)</f>
        <v>7.4743799257482712E-3</v>
      </c>
      <c r="P26" s="3">
        <f>INDEX('Financial Model'!P$237:P$328,'Graph Data'!$E26)</f>
        <v>7.4743799257482712E-3</v>
      </c>
      <c r="Q26" s="3">
        <f>INDEX('Financial Model'!Q$237:Q$328,'Graph Data'!$E26)</f>
        <v>7.4743799257482712E-3</v>
      </c>
      <c r="R26" s="3">
        <f>INDEX('Financial Model'!R$237:R$328,'Graph Data'!$E26)</f>
        <v>7.4743799257482712E-3</v>
      </c>
      <c r="S26" s="3">
        <f>INDEX('Financial Model'!S$237:S$328,'Graph Data'!$E26)</f>
        <v>7.4743799257482712E-3</v>
      </c>
      <c r="T26" s="3">
        <f>INDEX('Financial Model'!T$237:T$328,'Graph Data'!$E26)</f>
        <v>7.4743799257482712E-3</v>
      </c>
    </row>
    <row r="27" spans="4:20" x14ac:dyDescent="0.25">
      <c r="D27">
        <f t="shared" si="0"/>
        <v>24</v>
      </c>
      <c r="E27">
        <f>MATCH(D27,'Financial Model'!$E$237:$E$328,0)</f>
        <v>37</v>
      </c>
      <c r="F27" t="str">
        <f>INDEX('Financial Model'!$D$237:$D$328,'Graph Data'!E27)</f>
        <v>Advertising Expense</v>
      </c>
      <c r="I27" s="3">
        <f>INDEX('Financial Model'!I$237:I$328,'Graph Data'!$E27)</f>
        <v>26581800.82</v>
      </c>
      <c r="J27" s="3">
        <f>INDEX('Financial Model'!J$237:J$328,'Graph Data'!$E27)</f>
        <v>36474837.258000001</v>
      </c>
      <c r="K27" s="3">
        <f>INDEX('Financial Model'!K$237:K$328,'Graph Data'!$E27)</f>
        <v>28900680.57</v>
      </c>
      <c r="L27" s="3">
        <f>INDEX('Financial Model'!L$237:L$328,'Graph Data'!$E27)</f>
        <v>41879776.710000001</v>
      </c>
      <c r="M27" s="3">
        <f>INDEX('Financial Model'!M$237:M$328,'Graph Data'!$E27)</f>
        <v>41938531.249728732</v>
      </c>
      <c r="N27" s="3">
        <f>INDEX('Financial Model'!N$237:N$328,'Graph Data'!$E27)</f>
        <v>46132384.374701612</v>
      </c>
      <c r="O27" s="3">
        <f>INDEX('Financial Model'!O$237:O$328,'Graph Data'!$E27)</f>
        <v>50745622.81217178</v>
      </c>
      <c r="P27" s="3">
        <f>INDEX('Financial Model'!P$237:P$328,'Graph Data'!$E27)</f>
        <v>55820185.09338896</v>
      </c>
      <c r="Q27" s="3">
        <f>INDEX('Financial Model'!Q$237:Q$328,'Graph Data'!$E27)</f>
        <v>61402203.60272786</v>
      </c>
      <c r="R27" s="3">
        <f>INDEX('Financial Model'!R$237:R$328,'Graph Data'!$E27)</f>
        <v>67542423.96300064</v>
      </c>
      <c r="S27" s="3">
        <f>INDEX('Financial Model'!S$237:S$328,'Graph Data'!$E27)</f>
        <v>74296666.359300718</v>
      </c>
      <c r="T27" s="3">
        <f>INDEX('Financial Model'!T$237:T$328,'Graph Data'!$E27)</f>
        <v>81726332.995230809</v>
      </c>
    </row>
    <row r="28" spans="4:20" x14ac:dyDescent="0.25">
      <c r="D28">
        <f t="shared" si="0"/>
        <v>25</v>
      </c>
      <c r="E28">
        <f>MATCH(D28,'Financial Model'!$E$237:$E$328,0)</f>
        <v>39</v>
      </c>
      <c r="F28" t="str">
        <f>INDEX('Financial Model'!$D$237:$D$328,'Graph Data'!E28)</f>
        <v>Postal and Training Percent of Revenues</v>
      </c>
      <c r="I28" s="3">
        <f>INDEX('Financial Model'!I$237:I$328,'Graph Data'!$E28)</f>
        <v>1.2634906450601786E-2</v>
      </c>
      <c r="J28" s="3">
        <f>INDEX('Financial Model'!J$237:J$328,'Graph Data'!$E28)</f>
        <v>1.3211481123498327E-2</v>
      </c>
      <c r="K28" s="3">
        <f>INDEX('Financial Model'!K$237:K$328,'Graph Data'!$E28)</f>
        <v>1.1342737313729333E-2</v>
      </c>
      <c r="L28" s="3">
        <f>INDEX('Financial Model'!L$237:L$328,'Graph Data'!$E28)</f>
        <v>1.2955457534702758E-2</v>
      </c>
      <c r="M28" s="3">
        <f>INDEX('Financial Model'!M$237:M$328,'Graph Data'!$E28)</f>
        <v>1.2955457534702758E-2</v>
      </c>
      <c r="N28" s="3">
        <f>INDEX('Financial Model'!N$237:N$328,'Graph Data'!$E28)</f>
        <v>1.2955457534702758E-2</v>
      </c>
      <c r="O28" s="3">
        <f>INDEX('Financial Model'!O$237:O$328,'Graph Data'!$E28)</f>
        <v>1.2955457534702758E-2</v>
      </c>
      <c r="P28" s="3">
        <f>INDEX('Financial Model'!P$237:P$328,'Graph Data'!$E28)</f>
        <v>1.2955457534702758E-2</v>
      </c>
      <c r="Q28" s="3">
        <f>INDEX('Financial Model'!Q$237:Q$328,'Graph Data'!$E28)</f>
        <v>1.2955457534702758E-2</v>
      </c>
      <c r="R28" s="3">
        <f>INDEX('Financial Model'!R$237:R$328,'Graph Data'!$E28)</f>
        <v>1.2955457534702758E-2</v>
      </c>
      <c r="S28" s="3">
        <f>INDEX('Financial Model'!S$237:S$328,'Graph Data'!$E28)</f>
        <v>1.2955457534702758E-2</v>
      </c>
      <c r="T28" s="3">
        <f>INDEX('Financial Model'!T$237:T$328,'Graph Data'!$E28)</f>
        <v>1.2955457534702758E-2</v>
      </c>
    </row>
    <row r="29" spans="4:20" x14ac:dyDescent="0.25">
      <c r="D29">
        <f t="shared" si="0"/>
        <v>26</v>
      </c>
      <c r="E29">
        <f>MATCH(D29,'Financial Model'!$E$237:$E$328,0)</f>
        <v>40</v>
      </c>
      <c r="F29" t="str">
        <f>INDEX('Financial Model'!$D$237:$D$328,'Graph Data'!E29)</f>
        <v>Postal and Training Expense</v>
      </c>
      <c r="I29" s="3">
        <f>INDEX('Financial Model'!I$237:I$328,'Graph Data'!$E29)</f>
        <v>47814207.036078997</v>
      </c>
      <c r="J29" s="3">
        <f>INDEX('Financial Model'!J$237:J$328,'Graph Data'!$E29)</f>
        <v>51319427.265880004</v>
      </c>
      <c r="K29" s="3">
        <f>INDEX('Financial Model'!K$237:K$328,'Graph Data'!$E29)</f>
        <v>62167797.281478509</v>
      </c>
      <c r="L29" s="3">
        <f>INDEX('Financial Model'!L$237:L$328,'Graph Data'!$E29)</f>
        <v>66084273.097655997</v>
      </c>
      <c r="M29" s="3">
        <f>INDEX('Financial Model'!M$237:M$328,'Graph Data'!$E29)</f>
        <v>72692700.407421604</v>
      </c>
      <c r="N29" s="3">
        <f>INDEX('Financial Model'!N$237:N$328,'Graph Data'!$E29)</f>
        <v>79961970.448163778</v>
      </c>
      <c r="O29" s="3">
        <f>INDEX('Financial Model'!O$237:O$328,'Graph Data'!$E29)</f>
        <v>87958167.492980152</v>
      </c>
      <c r="P29" s="3">
        <f>INDEX('Financial Model'!P$237:P$328,'Graph Data'!$E29)</f>
        <v>96753984.242278174</v>
      </c>
      <c r="Q29" s="3">
        <f>INDEX('Financial Model'!Q$237:Q$328,'Graph Data'!$E29)</f>
        <v>106429382.66650601</v>
      </c>
      <c r="R29" s="3">
        <f>INDEX('Financial Model'!R$237:R$328,'Graph Data'!$E29)</f>
        <v>117072320.93315661</v>
      </c>
      <c r="S29" s="3">
        <f>INDEX('Financial Model'!S$237:S$328,'Graph Data'!$E29)</f>
        <v>128779553.02647229</v>
      </c>
      <c r="T29" s="3">
        <f>INDEX('Financial Model'!T$237:T$328,'Graph Data'!$E29)</f>
        <v>141657508.32911953</v>
      </c>
    </row>
    <row r="30" spans="4:20" x14ac:dyDescent="0.25">
      <c r="D30">
        <f t="shared" si="0"/>
        <v>27</v>
      </c>
      <c r="E30">
        <f>MATCH(D30,'Financial Model'!$E$237:$E$328,0)</f>
        <v>42</v>
      </c>
      <c r="F30" t="str">
        <f>INDEX('Financial Model'!$D$237:$D$328,'Graph Data'!E30)</f>
        <v>Fuel Expense as Percent of CGS</v>
      </c>
      <c r="I30" s="3">
        <f>INDEX('Financial Model'!I$237:I$328,'Graph Data'!$E30)</f>
        <v>4.3591908229592739E-2</v>
      </c>
      <c r="J30" s="3">
        <f>INDEX('Financial Model'!J$237:J$328,'Graph Data'!$E30)</f>
        <v>6.4895743633189007E-2</v>
      </c>
      <c r="K30" s="3">
        <f>INDEX('Financial Model'!K$237:K$328,'Graph Data'!$E30)</f>
        <v>3.1229767194268371E-2</v>
      </c>
      <c r="L30" s="3">
        <f>INDEX('Financial Model'!L$237:L$328,'Graph Data'!$E30)</f>
        <v>3.4248598827643813E-2</v>
      </c>
      <c r="M30" s="3">
        <f>INDEX('Financial Model'!M$237:M$328,'Graph Data'!$E30)</f>
        <v>4.3491504471173482E-2</v>
      </c>
      <c r="N30" s="3">
        <f>INDEX('Financial Model'!N$237:N$328,'Graph Data'!$E30)</f>
        <v>4.3491504471173482E-2</v>
      </c>
      <c r="O30" s="3">
        <f>INDEX('Financial Model'!O$237:O$328,'Graph Data'!$E30)</f>
        <v>4.3491504471173482E-2</v>
      </c>
      <c r="P30" s="3">
        <f>INDEX('Financial Model'!P$237:P$328,'Graph Data'!$E30)</f>
        <v>4.3491504471173482E-2</v>
      </c>
      <c r="Q30" s="3">
        <f>INDEX('Financial Model'!Q$237:Q$328,'Graph Data'!$E30)</f>
        <v>4.3491504471173482E-2</v>
      </c>
      <c r="R30" s="3">
        <f>INDEX('Financial Model'!R$237:R$328,'Graph Data'!$E30)</f>
        <v>4.3491504471173482E-2</v>
      </c>
      <c r="S30" s="3">
        <f>INDEX('Financial Model'!S$237:S$328,'Graph Data'!$E30)</f>
        <v>4.3491504471173482E-2</v>
      </c>
      <c r="T30" s="3">
        <f>INDEX('Financial Model'!T$237:T$328,'Graph Data'!$E30)</f>
        <v>4.3491504471173482E-2</v>
      </c>
    </row>
    <row r="31" spans="4:20" x14ac:dyDescent="0.25">
      <c r="D31">
        <f t="shared" si="0"/>
        <v>28</v>
      </c>
      <c r="E31">
        <f>MATCH(D31,'Financial Model'!$E$237:$E$328,0)</f>
        <v>43</v>
      </c>
      <c r="F31" t="str">
        <f>INDEX('Financial Model'!$D$237:$D$328,'Graph Data'!E31)</f>
        <v xml:space="preserve">Fuel Expense  </v>
      </c>
      <c r="I31" s="3">
        <f>INDEX('Financial Model'!I$237:I$328,'Graph Data'!$E31)</f>
        <v>41723861.130000003</v>
      </c>
      <c r="J31" s="3">
        <f>INDEX('Financial Model'!J$237:J$328,'Graph Data'!$E31)</f>
        <v>57158741.479999997</v>
      </c>
      <c r="K31" s="3">
        <f>INDEX('Financial Model'!K$237:K$328,'Graph Data'!$E31)</f>
        <v>48440704.739999898</v>
      </c>
      <c r="L31" s="3">
        <f>INDEX('Financial Model'!L$237:L$328,'Graph Data'!$E31)</f>
        <v>47010372.449999996</v>
      </c>
      <c r="M31" s="3">
        <f>INDEX('Financial Model'!M$237:M$328,'Graph Data'!$E31)</f>
        <v>65667124.581618987</v>
      </c>
      <c r="N31" s="3">
        <f>INDEX('Financial Model'!N$237:N$328,'Graph Data'!$E31)</f>
        <v>72233837.039780885</v>
      </c>
      <c r="O31" s="3">
        <f>INDEX('Financial Model'!O$237:O$328,'Graph Data'!$E31)</f>
        <v>79457220.743758991</v>
      </c>
      <c r="P31" s="3">
        <f>INDEX('Financial Model'!P$237:P$328,'Graph Data'!$E31)</f>
        <v>87402942.818134889</v>
      </c>
      <c r="Q31" s="3">
        <f>INDEX('Financial Model'!Q$237:Q$328,'Graph Data'!$E31)</f>
        <v>96143237.099948376</v>
      </c>
      <c r="R31" s="3">
        <f>INDEX('Financial Model'!R$237:R$328,'Graph Data'!$E31)</f>
        <v>105757560.80994321</v>
      </c>
      <c r="S31" s="3">
        <f>INDEX('Financial Model'!S$237:S$328,'Graph Data'!$E31)</f>
        <v>116333316.89093757</v>
      </c>
      <c r="T31" s="3">
        <f>INDEX('Financial Model'!T$237:T$328,'Graph Data'!$E31)</f>
        <v>127966648.58003134</v>
      </c>
    </row>
    <row r="32" spans="4:20" x14ac:dyDescent="0.25">
      <c r="D32">
        <f t="shared" si="0"/>
        <v>29</v>
      </c>
      <c r="E32">
        <f>MATCH(D32,'Financial Model'!$E$237:$E$328,0)</f>
        <v>45</v>
      </c>
      <c r="F32" t="str">
        <f>INDEX('Financial Model'!$D$237:$D$328,'Graph Data'!E32)</f>
        <v>Other Expense Pct of Revenues</v>
      </c>
      <c r="I32" s="3">
        <f>INDEX('Financial Model'!I$237:I$328,'Graph Data'!$E32)</f>
        <v>4.9475375321808256E-2</v>
      </c>
      <c r="J32" s="3">
        <f>INDEX('Financial Model'!J$237:J$328,'Graph Data'!$E32)</f>
        <v>9.6458896403158523E-2</v>
      </c>
      <c r="K32" s="3">
        <f>INDEX('Financial Model'!K$237:K$328,'Graph Data'!$E32)</f>
        <v>6.2268763421389615E-2</v>
      </c>
      <c r="L32" s="3">
        <f>INDEX('Financial Model'!L$237:L$328,'Graph Data'!$E32)</f>
        <v>6.3057263778031683E-2</v>
      </c>
      <c r="M32" s="3">
        <f>INDEX('Financial Model'!M$237:M$328,'Graph Data'!$E32)</f>
        <v>7.0000000000000007E-2</v>
      </c>
      <c r="N32" s="3">
        <f>INDEX('Financial Model'!N$237:N$328,'Graph Data'!$E32)</f>
        <v>7.0000000000000007E-2</v>
      </c>
      <c r="O32" s="3">
        <f>INDEX('Financial Model'!O$237:O$328,'Graph Data'!$E32)</f>
        <v>7.0000000000000007E-2</v>
      </c>
      <c r="P32" s="3">
        <f>INDEX('Financial Model'!P$237:P$328,'Graph Data'!$E32)</f>
        <v>7.0000000000000007E-2</v>
      </c>
      <c r="Q32" s="3">
        <f>INDEX('Financial Model'!Q$237:Q$328,'Graph Data'!$E32)</f>
        <v>7.0000000000000007E-2</v>
      </c>
      <c r="R32" s="3">
        <f>INDEX('Financial Model'!R$237:R$328,'Graph Data'!$E32)</f>
        <v>7.0000000000000007E-2</v>
      </c>
      <c r="S32" s="3">
        <f>INDEX('Financial Model'!S$237:S$328,'Graph Data'!$E32)</f>
        <v>7.0000000000000007E-2</v>
      </c>
      <c r="T32" s="3">
        <f>INDEX('Financial Model'!T$237:T$328,'Graph Data'!$E32)</f>
        <v>7.0000000000000007E-2</v>
      </c>
    </row>
    <row r="33" spans="4:20" x14ac:dyDescent="0.25">
      <c r="D33">
        <f t="shared" si="0"/>
        <v>30</v>
      </c>
      <c r="E33">
        <f>MATCH(D33,'Financial Model'!$E$237:$E$328,0)</f>
        <v>46</v>
      </c>
      <c r="F33" t="str">
        <f>INDEX('Financial Model'!$D$237:$D$328,'Graph Data'!E33)</f>
        <v xml:space="preserve">Other Expense  </v>
      </c>
      <c r="I33" s="3">
        <f>INDEX('Financial Model'!I$237:I$328,'Graph Data'!$E33)</f>
        <v>187229390.90000001</v>
      </c>
      <c r="J33" s="3">
        <f>INDEX('Financial Model'!J$237:J$328,'Graph Data'!$E33)</f>
        <v>374690412.97000003</v>
      </c>
      <c r="K33" s="3">
        <f>INDEX('Financial Model'!K$237:K$328,'Graph Data'!$E33)</f>
        <v>341285507.56999999</v>
      </c>
      <c r="L33" s="3">
        <f>INDEX('Financial Model'!L$237:L$328,'Graph Data'!$E33)</f>
        <v>321647724.83999997</v>
      </c>
      <c r="M33" s="3">
        <f>INDEX('Financial Model'!M$237:M$328,'Graph Data'!$E33)</f>
        <v>392767991.00991845</v>
      </c>
      <c r="N33" s="3">
        <f>INDEX('Financial Model'!N$237:N$328,'Graph Data'!$E33)</f>
        <v>432044790.1109103</v>
      </c>
      <c r="O33" s="3">
        <f>INDEX('Financial Model'!O$237:O$328,'Graph Data'!$E33)</f>
        <v>475249269.12200141</v>
      </c>
      <c r="P33" s="3">
        <f>INDEX('Financial Model'!P$237:P$328,'Graph Data'!$E33)</f>
        <v>522774196.03420156</v>
      </c>
      <c r="Q33" s="3">
        <f>INDEX('Financial Model'!Q$237:Q$328,'Graph Data'!$E33)</f>
        <v>575051615.63762176</v>
      </c>
      <c r="R33" s="3">
        <f>INDEX('Financial Model'!R$237:R$328,'Graph Data'!$E33)</f>
        <v>632556777.20138395</v>
      </c>
      <c r="S33" s="3">
        <f>INDEX('Financial Model'!S$237:S$328,'Graph Data'!$E33)</f>
        <v>695812454.92152238</v>
      </c>
      <c r="T33" s="3">
        <f>INDEX('Financial Model'!T$237:T$328,'Graph Data'!$E33)</f>
        <v>765393700.41367471</v>
      </c>
    </row>
    <row r="34" spans="4:20" x14ac:dyDescent="0.25">
      <c r="D34">
        <f t="shared" si="0"/>
        <v>31</v>
      </c>
      <c r="E34">
        <f>MATCH(D34,'Financial Model'!$E$237:$E$328,0)</f>
        <v>48</v>
      </c>
      <c r="F34" t="str">
        <f>INDEX('Financial Model'!$D$237:$D$328,'Graph Data'!E34)</f>
        <v>Total Expenses</v>
      </c>
      <c r="I34" s="3">
        <f>INDEX('Financial Model'!I$237:I$328,'Graph Data'!$E34)</f>
        <v>2572603153.1239486</v>
      </c>
      <c r="J34" s="3">
        <f>INDEX('Financial Model'!J$237:J$328,'Graph Data'!$E34)</f>
        <v>3073937455.2291746</v>
      </c>
      <c r="K34" s="3">
        <f>INDEX('Financial Model'!K$237:K$328,'Graph Data'!$E34)</f>
        <v>3898589669.1349096</v>
      </c>
      <c r="L34" s="3">
        <f>INDEX('Financial Model'!L$237:L$328,'Graph Data'!$E34)</f>
        <v>4021732916.1051283</v>
      </c>
      <c r="M34" s="3">
        <f>INDEX('Financial Model'!M$237:M$328,'Graph Data'!$E34)</f>
        <v>4455268853.6936169</v>
      </c>
      <c r="N34" s="3">
        <f>INDEX('Financial Model'!N$237:N$328,'Graph Data'!$E34)</f>
        <v>4897677611.8512726</v>
      </c>
      <c r="O34" s="3">
        <f>INDEX('Financial Model'!O$237:O$328,'Graph Data'!$E34)</f>
        <v>5384717555.5540867</v>
      </c>
      <c r="P34" s="3">
        <f>INDEX('Financial Model'!P$237:P$328,'Graph Data'!$E34)</f>
        <v>5920802946.5670633</v>
      </c>
      <c r="Q34" s="3">
        <f>INDEX('Financial Model'!Q$237:Q$328,'Graph Data'!$E34)</f>
        <v>6510795588.4514332</v>
      </c>
      <c r="R34" s="3">
        <f>INDEX('Financial Model'!R$237:R$328,'Graph Data'!$E34)</f>
        <v>7160048815.2251987</v>
      </c>
      <c r="S34" s="3">
        <f>INDEX('Financial Model'!S$237:S$328,'Graph Data'!$E34)</f>
        <v>7874455974.7131233</v>
      </c>
      <c r="T34" s="3">
        <f>INDEX('Financial Model'!T$237:T$328,'Graph Data'!$E34)</f>
        <v>8660503844.0604897</v>
      </c>
    </row>
    <row r="35" spans="4:20" x14ac:dyDescent="0.25">
      <c r="D35">
        <f t="shared" si="0"/>
        <v>32</v>
      </c>
      <c r="E35">
        <f>MATCH(D35,'Financial Model'!$E$237:$E$328,0)</f>
        <v>50</v>
      </c>
      <c r="F35" t="str">
        <f>INDEX('Financial Model'!$D$237:$D$328,'Graph Data'!E35)</f>
        <v>Historic</v>
      </c>
      <c r="I35" s="3">
        <f>INDEX('Financial Model'!I$237:I$328,'Graph Data'!$E35)</f>
        <v>2572603153.1239486</v>
      </c>
      <c r="J35" s="3">
        <f>INDEX('Financial Model'!J$237:J$328,'Graph Data'!$E35)</f>
        <v>3073937455.2291751</v>
      </c>
      <c r="K35" s="3">
        <f>INDEX('Financial Model'!K$237:K$328,'Graph Data'!$E35)</f>
        <v>3898589669.1349096</v>
      </c>
      <c r="L35" s="3">
        <f>INDEX('Financial Model'!L$237:L$328,'Graph Data'!$E35)</f>
        <v>4021732916.1051283</v>
      </c>
      <c r="M35" s="3">
        <f>INDEX('Financial Model'!M$237:M$328,'Graph Data'!$E35)</f>
        <v>0</v>
      </c>
      <c r="N35" s="3">
        <f>INDEX('Financial Model'!N$237:N$328,'Graph Data'!$E35)</f>
        <v>0</v>
      </c>
      <c r="O35" s="3">
        <f>INDEX('Financial Model'!O$237:O$328,'Graph Data'!$E35)</f>
        <v>0</v>
      </c>
      <c r="P35" s="3">
        <f>INDEX('Financial Model'!P$237:P$328,'Graph Data'!$E35)</f>
        <v>0</v>
      </c>
      <c r="Q35" s="3">
        <f>INDEX('Financial Model'!Q$237:Q$328,'Graph Data'!$E35)</f>
        <v>0</v>
      </c>
      <c r="R35" s="3">
        <f>INDEX('Financial Model'!R$237:R$328,'Graph Data'!$E35)</f>
        <v>0</v>
      </c>
      <c r="S35" s="3">
        <f>INDEX('Financial Model'!S$237:S$328,'Graph Data'!$E35)</f>
        <v>0</v>
      </c>
      <c r="T35" s="3">
        <f>INDEX('Financial Model'!T$237:T$328,'Graph Data'!$E35)</f>
        <v>0</v>
      </c>
    </row>
    <row r="36" spans="4:20" x14ac:dyDescent="0.25">
      <c r="D36">
        <f t="shared" si="0"/>
        <v>33</v>
      </c>
      <c r="E36">
        <f>MATCH(D36,'Financial Model'!$E$237:$E$328,0)</f>
        <v>51</v>
      </c>
      <c r="F36" t="str">
        <f>INDEX('Financial Model'!$D$237:$D$328,'Graph Data'!E36)</f>
        <v>Difference</v>
      </c>
      <c r="I36" s="3">
        <f>INDEX('Financial Model'!I$237:I$328,'Graph Data'!$E36)</f>
        <v>0</v>
      </c>
      <c r="J36" s="3">
        <f>INDEX('Financial Model'!J$237:J$328,'Graph Data'!$E36)</f>
        <v>0</v>
      </c>
      <c r="K36" s="3">
        <f>INDEX('Financial Model'!K$237:K$328,'Graph Data'!$E36)</f>
        <v>0</v>
      </c>
      <c r="L36" s="3">
        <f>INDEX('Financial Model'!L$237:L$328,'Graph Data'!$E36)</f>
        <v>0</v>
      </c>
      <c r="M36" s="3">
        <f>INDEX('Financial Model'!M$237:M$328,'Graph Data'!$E36)</f>
        <v>-4455268853.6936169</v>
      </c>
      <c r="N36" s="3">
        <f>INDEX('Financial Model'!N$237:N$328,'Graph Data'!$E36)</f>
        <v>-4897677611.8512726</v>
      </c>
      <c r="O36" s="3">
        <f>INDEX('Financial Model'!O$237:O$328,'Graph Data'!$E36)</f>
        <v>-5384717555.5540867</v>
      </c>
      <c r="P36" s="3">
        <f>INDEX('Financial Model'!P$237:P$328,'Graph Data'!$E36)</f>
        <v>-5920802946.5670633</v>
      </c>
      <c r="Q36" s="3">
        <f>INDEX('Financial Model'!Q$237:Q$328,'Graph Data'!$E36)</f>
        <v>-6510795588.4514332</v>
      </c>
      <c r="R36" s="3">
        <f>INDEX('Financial Model'!R$237:R$328,'Graph Data'!$E36)</f>
        <v>-7160048815.2251987</v>
      </c>
      <c r="S36" s="3">
        <f>INDEX('Financial Model'!S$237:S$328,'Graph Data'!$E36)</f>
        <v>-7874455974.7131233</v>
      </c>
      <c r="T36" s="3">
        <f>INDEX('Financial Model'!T$237:T$328,'Graph Data'!$E36)</f>
        <v>-8660503844.0604897</v>
      </c>
    </row>
    <row r="37" spans="4:20" x14ac:dyDescent="0.25">
      <c r="D37">
        <f t="shared" si="0"/>
        <v>34</v>
      </c>
      <c r="E37">
        <f>MATCH(D37,'Financial Model'!$E$237:$E$328,0)</f>
        <v>52</v>
      </c>
      <c r="F37" t="str">
        <f>INDEX('Financial Model'!$D$237:$D$328,'Graph Data'!E37)</f>
        <v>Test</v>
      </c>
      <c r="I37" s="3">
        <f>INDEX('Financial Model'!I$237:I$328,'Graph Data'!$E37)</f>
        <v>0</v>
      </c>
      <c r="J37" s="3">
        <f>INDEX('Financial Model'!J$237:J$328,'Graph Data'!$E37)</f>
        <v>0</v>
      </c>
      <c r="K37" s="3">
        <f>INDEX('Financial Model'!K$237:K$328,'Graph Data'!$E37)</f>
        <v>0</v>
      </c>
      <c r="L37" s="3">
        <f>INDEX('Financial Model'!L$237:L$328,'Graph Data'!$E37)</f>
        <v>0</v>
      </c>
      <c r="M37" s="3">
        <f>INDEX('Financial Model'!M$237:M$328,'Graph Data'!$E37)</f>
        <v>0</v>
      </c>
      <c r="N37" s="3">
        <f>INDEX('Financial Model'!N$237:N$328,'Graph Data'!$E37)</f>
        <v>0</v>
      </c>
      <c r="O37" s="3">
        <f>INDEX('Financial Model'!O$237:O$328,'Graph Data'!$E37)</f>
        <v>0</v>
      </c>
      <c r="P37" s="3">
        <f>INDEX('Financial Model'!P$237:P$328,'Graph Data'!$E37)</f>
        <v>0</v>
      </c>
      <c r="Q37" s="3">
        <f>INDEX('Financial Model'!Q$237:Q$328,'Graph Data'!$E37)</f>
        <v>0</v>
      </c>
      <c r="R37" s="3">
        <f>INDEX('Financial Model'!R$237:R$328,'Graph Data'!$E37)</f>
        <v>0</v>
      </c>
      <c r="S37" s="3">
        <f>INDEX('Financial Model'!S$237:S$328,'Graph Data'!$E37)</f>
        <v>0</v>
      </c>
      <c r="T37" s="3">
        <f>INDEX('Financial Model'!T$237:T$328,'Graph Data'!$E37)</f>
        <v>0</v>
      </c>
    </row>
    <row r="38" spans="4:20" x14ac:dyDescent="0.25">
      <c r="D38">
        <f t="shared" si="0"/>
        <v>35</v>
      </c>
      <c r="E38">
        <f>MATCH(D38,'Financial Model'!$E$237:$E$328,0)</f>
        <v>54</v>
      </c>
      <c r="F38" t="str">
        <f>INDEX('Financial Model'!$D$237:$D$328,'Graph Data'!E38)</f>
        <v>EBITDA</v>
      </c>
      <c r="I38" s="3">
        <f>INDEX('Financial Model'!I$237:I$328,'Graph Data'!$E38)</f>
        <v>1190330303.5500312</v>
      </c>
      <c r="J38" s="3">
        <f>INDEX('Financial Model'!J$237:J$328,'Graph Data'!$E38)</f>
        <v>806071086.80130529</v>
      </c>
      <c r="K38" s="3">
        <f>INDEX('Financial Model'!K$237:K$328,'Graph Data'!$E38)</f>
        <v>1579952239.4920807</v>
      </c>
      <c r="L38" s="3">
        <f>INDEX('Financial Model'!L$237:L$328,'Graph Data'!$E38)</f>
        <v>1078315384.0636816</v>
      </c>
      <c r="M38" s="3">
        <f>INDEX('Financial Model'!M$237:M$328,'Graph Data'!$E38)</f>
        <v>1145358853.7237959</v>
      </c>
      <c r="N38" s="3">
        <f>INDEX('Financial Model'!N$237:N$328,'Graph Data'!$E38)</f>
        <v>1263012866.3078823</v>
      </c>
      <c r="O38" s="3">
        <f>INDEX('Financial Model'!O$237:O$328,'Graph Data'!$E38)</f>
        <v>1392041970.4209843</v>
      </c>
      <c r="P38" s="3">
        <f>INDEX('Financial Model'!P$237:P$328,'Graph Data'!$E38)</f>
        <v>1533632532.0055161</v>
      </c>
      <c r="Q38" s="3">
        <f>INDEX('Financial Model'!Q$237:Q$328,'Graph Data'!$E38)</f>
        <v>1689083437.978404</v>
      </c>
      <c r="R38" s="3">
        <f>INDEX('Financial Model'!R$237:R$328,'Graph Data'!$E38)</f>
        <v>1859818113.8476219</v>
      </c>
      <c r="S38" s="3">
        <f>INDEX('Financial Model'!S$237:S$328,'Graph Data'!$E38)</f>
        <v>2047397647.2669811</v>
      </c>
      <c r="T38" s="3">
        <f>INDEX('Financial Model'!T$237:T$328,'Graph Data'!$E38)</f>
        <v>2253535140.1176262</v>
      </c>
    </row>
    <row r="39" spans="4:20" x14ac:dyDescent="0.25">
      <c r="D39">
        <f t="shared" si="0"/>
        <v>36</v>
      </c>
      <c r="E39">
        <f>MATCH(D39,'Financial Model'!$E$237:$E$328,0)</f>
        <v>57</v>
      </c>
      <c r="F39" t="str">
        <f>INDEX('Financial Model'!$D$237:$D$328,'Graph Data'!E39)</f>
        <v>A/R as Pct of Sales</v>
      </c>
      <c r="I39" s="3">
        <f>INDEX('Financial Model'!I$237:I$328,'Graph Data'!$E39)</f>
        <v>0.32902824120649049</v>
      </c>
      <c r="J39" s="3">
        <f>INDEX('Financial Model'!J$237:J$328,'Graph Data'!$E39)</f>
        <v>0.52414105770328245</v>
      </c>
      <c r="K39" s="3">
        <f>INDEX('Financial Model'!K$237:K$328,'Graph Data'!$E39)</f>
        <v>0.26857406118203098</v>
      </c>
      <c r="L39" s="3">
        <f>INDEX('Financial Model'!L$237:L$328,'Graph Data'!$E39)</f>
        <v>0.12055342713593653</v>
      </c>
      <c r="M39" s="3">
        <f>INDEX('Financial Model'!M$237:M$328,'Graph Data'!$E39)</f>
        <v>0.12055342713593653</v>
      </c>
      <c r="N39" s="3">
        <f>INDEX('Financial Model'!N$237:N$328,'Graph Data'!$E39)</f>
        <v>0.12055342713593653</v>
      </c>
      <c r="O39" s="3">
        <f>INDEX('Financial Model'!O$237:O$328,'Graph Data'!$E39)</f>
        <v>0.12055342713593653</v>
      </c>
      <c r="P39" s="3">
        <f>INDEX('Financial Model'!P$237:P$328,'Graph Data'!$E39)</f>
        <v>0.12055342713593653</v>
      </c>
      <c r="Q39" s="3">
        <f>INDEX('Financial Model'!Q$237:Q$328,'Graph Data'!$E39)</f>
        <v>0.12055342713593653</v>
      </c>
      <c r="R39" s="3">
        <f>INDEX('Financial Model'!R$237:R$328,'Graph Data'!$E39)</f>
        <v>0.12055342713593653</v>
      </c>
      <c r="S39" s="3">
        <f>INDEX('Financial Model'!S$237:S$328,'Graph Data'!$E39)</f>
        <v>0.12055342713593653</v>
      </c>
      <c r="T39" s="3">
        <f>INDEX('Financial Model'!T$237:T$328,'Graph Data'!$E39)</f>
        <v>0.12055342713593653</v>
      </c>
    </row>
    <row r="40" spans="4:20" x14ac:dyDescent="0.25">
      <c r="D40">
        <f t="shared" si="0"/>
        <v>37</v>
      </c>
      <c r="E40">
        <f>MATCH(D40,'Financial Model'!$E$237:$E$328,0)</f>
        <v>58</v>
      </c>
      <c r="F40" t="str">
        <f>INDEX('Financial Model'!$D$237:$D$328,'Graph Data'!E40)</f>
        <v>A/R Level</v>
      </c>
      <c r="I40" s="3">
        <f>INDEX('Financial Model'!I$237:I$328,'Graph Data'!$E40)</f>
        <v>1245139764.7676899</v>
      </c>
      <c r="J40" s="3">
        <f>INDEX('Financial Model'!J$237:J$328,'Graph Data'!$E40)</f>
        <v>2036003278.9981699</v>
      </c>
      <c r="K40" s="3">
        <f>INDEX('Financial Model'!K$237:K$328,'Graph Data'!$E40)</f>
        <v>1472013088.9761636</v>
      </c>
      <c r="L40" s="3">
        <f>INDEX('Financial Model'!L$237:L$328,'Graph Data'!$E40)</f>
        <v>614928927.08496583</v>
      </c>
      <c r="M40" s="3">
        <f>INDEX('Financial Model'!M$237:M$328,'Graph Data'!$E40)</f>
        <v>676421819.7934624</v>
      </c>
      <c r="N40" s="3">
        <f>INDEX('Financial Model'!N$237:N$328,'Graph Data'!$E40)</f>
        <v>744064001.77280879</v>
      </c>
      <c r="O40" s="3">
        <f>INDEX('Financial Model'!O$237:O$328,'Graph Data'!$E40)</f>
        <v>818470401.95008969</v>
      </c>
      <c r="P40" s="3">
        <f>INDEX('Financial Model'!P$237:P$328,'Graph Data'!$E40)</f>
        <v>900317442.14509881</v>
      </c>
      <c r="Q40" s="3">
        <f>INDEX('Financial Model'!Q$237:Q$328,'Graph Data'!$E40)</f>
        <v>990349186.35960865</v>
      </c>
      <c r="R40" s="3">
        <f>INDEX('Financial Model'!R$237:R$328,'Graph Data'!$E40)</f>
        <v>1089384104.9955695</v>
      </c>
      <c r="S40" s="3">
        <f>INDEX('Financial Model'!S$237:S$328,'Graph Data'!$E40)</f>
        <v>1198322515.4951267</v>
      </c>
      <c r="T40" s="3">
        <f>INDEX('Financial Model'!T$237:T$328,'Graph Data'!$E40)</f>
        <v>1318154767.0446396</v>
      </c>
    </row>
    <row r="41" spans="4:20" x14ac:dyDescent="0.25">
      <c r="D41">
        <f t="shared" si="0"/>
        <v>38</v>
      </c>
      <c r="E41">
        <f>MATCH(D41,'Financial Model'!$E$237:$E$328,0)</f>
        <v>60</v>
      </c>
      <c r="F41" t="str">
        <f>INDEX('Financial Model'!$D$237:$D$328,'Graph Data'!E41)</f>
        <v>Supplies as Pct of CGS</v>
      </c>
      <c r="I41" s="3">
        <f>INDEX('Financial Model'!I$237:I$328,'Graph Data'!$E41)</f>
        <v>1.1410288265393824</v>
      </c>
      <c r="J41" s="3">
        <f>INDEX('Financial Model'!J$237:J$328,'Graph Data'!$E41)</f>
        <v>1.8331361955189398</v>
      </c>
      <c r="K41" s="3">
        <f>INDEX('Financial Model'!K$237:K$328,'Graph Data'!$E41)</f>
        <v>0.96819687316189018</v>
      </c>
      <c r="L41" s="3">
        <f>INDEX('Financial Model'!L$237:L$328,'Graph Data'!$E41)</f>
        <v>1.1768071234021473</v>
      </c>
      <c r="M41" s="3">
        <f>INDEX('Financial Model'!M$237:M$328,'Graph Data'!$E41)</f>
        <v>1.1768071234021473</v>
      </c>
      <c r="N41" s="3">
        <f>INDEX('Financial Model'!N$237:N$328,'Graph Data'!$E41)</f>
        <v>1.1768071234021473</v>
      </c>
      <c r="O41" s="3">
        <f>INDEX('Financial Model'!O$237:O$328,'Graph Data'!$E41)</f>
        <v>1.1768071234021473</v>
      </c>
      <c r="P41" s="3">
        <f>INDEX('Financial Model'!P$237:P$328,'Graph Data'!$E41)</f>
        <v>1.1768071234021473</v>
      </c>
      <c r="Q41" s="3">
        <f>INDEX('Financial Model'!Q$237:Q$328,'Graph Data'!$E41)</f>
        <v>1.1768071234021473</v>
      </c>
      <c r="R41" s="3">
        <f>INDEX('Financial Model'!R$237:R$328,'Graph Data'!$E41)</f>
        <v>1.1768071234021473</v>
      </c>
      <c r="S41" s="3">
        <f>INDEX('Financial Model'!S$237:S$328,'Graph Data'!$E41)</f>
        <v>1.1768071234021473</v>
      </c>
      <c r="T41" s="3">
        <f>INDEX('Financial Model'!T$237:T$328,'Graph Data'!$E41)</f>
        <v>1.1768071234021473</v>
      </c>
    </row>
    <row r="42" spans="4:20" x14ac:dyDescent="0.25">
      <c r="D42">
        <f t="shared" si="0"/>
        <v>39</v>
      </c>
      <c r="E42">
        <f>MATCH(D42,'Financial Model'!$E$237:$E$328,0)</f>
        <v>61</v>
      </c>
      <c r="F42" t="str">
        <f>INDEX('Financial Model'!$D$237:$D$328,'Graph Data'!E42)</f>
        <v>Total Supplies</v>
      </c>
      <c r="I42" s="3">
        <f>INDEX('Financial Model'!I$237:I$328,'Graph Data'!$E42)</f>
        <v>1092132238.2381248</v>
      </c>
      <c r="J42" s="3">
        <f>INDEX('Financial Model'!J$237:J$328,'Graph Data'!$E42)</f>
        <v>1614585981.0089502</v>
      </c>
      <c r="K42" s="3">
        <f>INDEX('Financial Model'!K$237:K$328,'Graph Data'!$E42)</f>
        <v>1501776768.6604426</v>
      </c>
      <c r="L42" s="3">
        <f>INDEX('Financial Model'!L$237:L$328,'Graph Data'!$E42)</f>
        <v>1615311080.3556349</v>
      </c>
      <c r="M42" s="3">
        <f>INDEX('Financial Model'!M$237:M$328,'Graph Data'!$E42)</f>
        <v>1776842188.3911984</v>
      </c>
      <c r="N42" s="3">
        <f>INDEX('Financial Model'!N$237:N$328,'Graph Data'!$E42)</f>
        <v>1954526407.2303183</v>
      </c>
      <c r="O42" s="3">
        <f>INDEX('Financial Model'!O$237:O$328,'Graph Data'!$E42)</f>
        <v>2149979047.9533505</v>
      </c>
      <c r="P42" s="3">
        <f>INDEX('Financial Model'!P$237:P$328,'Graph Data'!$E42)</f>
        <v>2364976952.7486854</v>
      </c>
      <c r="Q42" s="3">
        <f>INDEX('Financial Model'!Q$237:Q$328,'Graph Data'!$E42)</f>
        <v>2601474648.0235538</v>
      </c>
      <c r="R42" s="3">
        <f>INDEX('Financial Model'!R$237:R$328,'Graph Data'!$E42)</f>
        <v>2861622112.8259091</v>
      </c>
      <c r="S42" s="3">
        <f>INDEX('Financial Model'!S$237:S$328,'Graph Data'!$E42)</f>
        <v>3147784324.108501</v>
      </c>
      <c r="T42" s="3">
        <f>INDEX('Financial Model'!T$237:T$328,'Graph Data'!$E42)</f>
        <v>3462562756.5193515</v>
      </c>
    </row>
    <row r="43" spans="4:20" x14ac:dyDescent="0.25">
      <c r="D43">
        <f t="shared" si="0"/>
        <v>40</v>
      </c>
      <c r="E43">
        <f>MATCH(D43,'Financial Model'!$E$237:$E$328,0)</f>
        <v>63</v>
      </c>
      <c r="F43" t="str">
        <f>INDEX('Financial Model'!$D$237:$D$328,'Graph Data'!E43)</f>
        <v>Payable as Pct CGS</v>
      </c>
      <c r="I43" s="3">
        <f>INDEX('Financial Model'!I$237:I$328,'Graph Data'!$E43)</f>
        <v>0.37276151415019898</v>
      </c>
      <c r="J43" s="3">
        <f>INDEX('Financial Model'!J$237:J$328,'Graph Data'!$E43)</f>
        <v>1.8329683767776335</v>
      </c>
      <c r="K43" s="3">
        <f>INDEX('Financial Model'!K$237:K$328,'Graph Data'!$E43)</f>
        <v>0.33997959661948068</v>
      </c>
      <c r="L43" s="3">
        <f>INDEX('Financial Model'!L$237:L$328,'Graph Data'!$E43)</f>
        <v>0.52551452247214692</v>
      </c>
      <c r="M43" s="3">
        <f>INDEX('Financial Model'!M$237:M$328,'Graph Data'!$E43)</f>
        <v>0.52551452247214692</v>
      </c>
      <c r="N43" s="3">
        <f>INDEX('Financial Model'!N$237:N$328,'Graph Data'!$E43)</f>
        <v>0.52551452247214692</v>
      </c>
      <c r="O43" s="3">
        <f>INDEX('Financial Model'!O$237:O$328,'Graph Data'!$E43)</f>
        <v>0.52551452247214692</v>
      </c>
      <c r="P43" s="3">
        <f>INDEX('Financial Model'!P$237:P$328,'Graph Data'!$E43)</f>
        <v>0.52551452247214692</v>
      </c>
      <c r="Q43" s="3">
        <f>INDEX('Financial Model'!Q$237:Q$328,'Graph Data'!$E43)</f>
        <v>0.52551452247214692</v>
      </c>
      <c r="R43" s="3">
        <f>INDEX('Financial Model'!R$237:R$328,'Graph Data'!$E43)</f>
        <v>0.52551452247214692</v>
      </c>
      <c r="S43" s="3">
        <f>INDEX('Financial Model'!S$237:S$328,'Graph Data'!$E43)</f>
        <v>0.52551452247214692</v>
      </c>
      <c r="T43" s="3">
        <f>INDEX('Financial Model'!T$237:T$328,'Graph Data'!$E43)</f>
        <v>0.52551452247214692</v>
      </c>
    </row>
    <row r="44" spans="4:20" x14ac:dyDescent="0.25">
      <c r="D44">
        <f t="shared" si="0"/>
        <v>41</v>
      </c>
      <c r="E44">
        <f>MATCH(D44,'Financial Model'!$E$237:$E$328,0)</f>
        <v>64</v>
      </c>
      <c r="F44" t="str">
        <f>INDEX('Financial Model'!$D$237:$D$328,'Graph Data'!E44)</f>
        <v>Total Payable</v>
      </c>
      <c r="I44" s="3">
        <f>INDEX('Financial Model'!I$237:I$328,'Graph Data'!$E44)</f>
        <v>356787538.84999955</v>
      </c>
      <c r="J44" s="3">
        <f>INDEX('Financial Model'!J$237:J$328,'Graph Data'!$E44)</f>
        <v>1614438169.9582896</v>
      </c>
      <c r="K44" s="3">
        <f>INDEX('Financial Model'!K$237:K$328,'Graph Data'!$E44)</f>
        <v>527344669.43099964</v>
      </c>
      <c r="L44" s="3">
        <f>INDEX('Financial Model'!L$237:L$328,'Graph Data'!$E44)</f>
        <v>721332675.64099979</v>
      </c>
      <c r="M44" s="3">
        <f>INDEX('Financial Model'!M$237:M$328,'Graph Data'!$E44)</f>
        <v>793465943.20509982</v>
      </c>
      <c r="N44" s="3">
        <f>INDEX('Financial Model'!N$237:N$328,'Graph Data'!$E44)</f>
        <v>872812537.52560985</v>
      </c>
      <c r="O44" s="3">
        <f>INDEX('Financial Model'!O$237:O$328,'Graph Data'!$E44)</f>
        <v>960093791.27817094</v>
      </c>
      <c r="P44" s="3">
        <f>INDEX('Financial Model'!P$237:P$328,'Graph Data'!$E44)</f>
        <v>1056103170.405988</v>
      </c>
      <c r="Q44" s="3">
        <f>INDEX('Financial Model'!Q$237:Q$328,'Graph Data'!$E44)</f>
        <v>1161713487.4465868</v>
      </c>
      <c r="R44" s="3">
        <f>INDEX('Financial Model'!R$237:R$328,'Graph Data'!$E44)</f>
        <v>1277884836.1912456</v>
      </c>
      <c r="S44" s="3">
        <f>INDEX('Financial Model'!S$237:S$328,'Graph Data'!$E44)</f>
        <v>1405673319.8103704</v>
      </c>
      <c r="T44" s="3">
        <f>INDEX('Financial Model'!T$237:T$328,'Graph Data'!$E44)</f>
        <v>1546240651.7914076</v>
      </c>
    </row>
    <row r="45" spans="4:20" x14ac:dyDescent="0.25">
      <c r="D45">
        <f t="shared" si="0"/>
        <v>42</v>
      </c>
      <c r="E45">
        <f>MATCH(D45,'Financial Model'!$E$237:$E$328,0)</f>
        <v>66</v>
      </c>
      <c r="F45" t="str">
        <f>INDEX('Financial Model'!$D$237:$D$328,'Graph Data'!E45)</f>
        <v>Total Working Capital</v>
      </c>
      <c r="I45" s="3">
        <f>INDEX('Financial Model'!I$237:I$328,'Graph Data'!$E45)</f>
        <v>1980484464.1558151</v>
      </c>
      <c r="J45" s="3">
        <f>INDEX('Financial Model'!J$237:J$328,'Graph Data'!$E45)</f>
        <v>2036151090.0488305</v>
      </c>
      <c r="K45" s="3">
        <f>INDEX('Financial Model'!K$237:K$328,'Graph Data'!$E45)</f>
        <v>2446445188.2056065</v>
      </c>
      <c r="L45" s="3">
        <f>INDEX('Financial Model'!L$237:L$328,'Graph Data'!$E45)</f>
        <v>1508907331.7996011</v>
      </c>
      <c r="M45" s="3">
        <f>INDEX('Financial Model'!M$237:M$328,'Graph Data'!$E45)</f>
        <v>1659798064.9795611</v>
      </c>
      <c r="N45" s="3">
        <f>INDEX('Financial Model'!N$237:N$328,'Graph Data'!$E45)</f>
        <v>1825777871.4775171</v>
      </c>
      <c r="O45" s="3">
        <f>INDEX('Financial Model'!O$237:O$328,'Graph Data'!$E45)</f>
        <v>2008355658.6252694</v>
      </c>
      <c r="P45" s="3">
        <f>INDEX('Financial Model'!P$237:P$328,'Graph Data'!$E45)</f>
        <v>2209191224.4877958</v>
      </c>
      <c r="Q45" s="3">
        <f>INDEX('Financial Model'!Q$237:Q$328,'Graph Data'!$E45)</f>
        <v>2430110346.9365759</v>
      </c>
      <c r="R45" s="3">
        <f>INDEX('Financial Model'!R$237:R$328,'Graph Data'!$E45)</f>
        <v>2673121381.6302333</v>
      </c>
      <c r="S45" s="3">
        <f>INDEX('Financial Model'!S$237:S$328,'Graph Data'!$E45)</f>
        <v>2940433519.7932577</v>
      </c>
      <c r="T45" s="3">
        <f>INDEX('Financial Model'!T$237:T$328,'Graph Data'!$E45)</f>
        <v>3234476871.772584</v>
      </c>
    </row>
    <row r="46" spans="4:20" x14ac:dyDescent="0.25">
      <c r="D46">
        <f t="shared" si="0"/>
        <v>43</v>
      </c>
      <c r="E46">
        <f>MATCH(D46,'Financial Model'!$E$237:$E$328,0)</f>
        <v>67</v>
      </c>
      <c r="F46" t="str">
        <f>INDEX('Financial Model'!$D$237:$D$328,'Graph Data'!E46)</f>
        <v>Change in Working Capital</v>
      </c>
      <c r="I46" s="3">
        <f>INDEX('Financial Model'!I$237:I$328,'Graph Data'!$E46)</f>
        <v>0</v>
      </c>
      <c r="J46" s="3">
        <f>INDEX('Financial Model'!J$237:J$328,'Graph Data'!$E46)</f>
        <v>55666625.893015385</v>
      </c>
      <c r="K46" s="3">
        <f>INDEX('Financial Model'!K$237:K$328,'Graph Data'!$E46)</f>
        <v>410294098.15677595</v>
      </c>
      <c r="L46" s="3">
        <f>INDEX('Financial Model'!L$237:L$328,'Graph Data'!$E46)</f>
        <v>-937537856.40600538</v>
      </c>
      <c r="M46" s="3">
        <f>INDEX('Financial Model'!M$237:M$328,'Graph Data'!$E46)</f>
        <v>150890733.17996001</v>
      </c>
      <c r="N46" s="3">
        <f>INDEX('Financial Model'!N$237:N$328,'Graph Data'!$E46)</f>
        <v>165979806.49795604</v>
      </c>
      <c r="O46" s="3">
        <f>INDEX('Financial Model'!O$237:O$328,'Graph Data'!$E46)</f>
        <v>182577787.14775229</v>
      </c>
      <c r="P46" s="3">
        <f>INDEX('Financial Model'!P$237:P$328,'Graph Data'!$E46)</f>
        <v>200835565.86252642</v>
      </c>
      <c r="Q46" s="3">
        <f>INDEX('Financial Model'!Q$237:Q$328,'Graph Data'!$E46)</f>
        <v>220919122.44878006</v>
      </c>
      <c r="R46" s="3">
        <f>INDEX('Financial Model'!R$237:R$328,'Graph Data'!$E46)</f>
        <v>243011034.6936574</v>
      </c>
      <c r="S46" s="3">
        <f>INDEX('Financial Model'!S$237:S$328,'Graph Data'!$E46)</f>
        <v>267312138.16302443</v>
      </c>
      <c r="T46" s="3">
        <f>INDEX('Financial Model'!T$237:T$328,'Graph Data'!$E46)</f>
        <v>294043351.97932625</v>
      </c>
    </row>
    <row r="47" spans="4:20" x14ac:dyDescent="0.25">
      <c r="D47">
        <f t="shared" si="0"/>
        <v>44</v>
      </c>
      <c r="E47">
        <f>MATCH(D47,'Financial Model'!$E$237:$E$328,0)</f>
        <v>70</v>
      </c>
      <c r="F47" t="str">
        <f>INDEX('Financial Model'!$D$237:$D$328,'Graph Data'!E47)</f>
        <v>Captial Expenditures</v>
      </c>
      <c r="I47" s="3">
        <f>INDEX('Financial Model'!I$237:I$328,'Graph Data'!$E47)</f>
        <v>0</v>
      </c>
      <c r="J47" s="3">
        <f>INDEX('Financial Model'!J$237:J$328,'Graph Data'!$E47)</f>
        <v>219263835.04000002</v>
      </c>
      <c r="K47" s="3">
        <f>INDEX('Financial Model'!K$237:K$328,'Graph Data'!$E47)</f>
        <v>107875748.44720006</v>
      </c>
      <c r="L47" s="3">
        <f>INDEX('Financial Model'!L$237:L$328,'Graph Data'!$E47)</f>
        <v>168312333.91000003</v>
      </c>
      <c r="M47" s="3">
        <f>INDEX('Financial Model'!M$237:M$328,'Graph Data'!$E47)</f>
        <v>185143567.30100006</v>
      </c>
      <c r="N47" s="3">
        <f>INDEX('Financial Model'!N$237:N$328,'Graph Data'!$E47)</f>
        <v>203657924.03110006</v>
      </c>
      <c r="O47" s="3">
        <f>INDEX('Financial Model'!O$237:O$328,'Graph Data'!$E47)</f>
        <v>224023716.43421009</v>
      </c>
      <c r="P47" s="3">
        <f>INDEX('Financial Model'!P$237:P$328,'Graph Data'!$E47)</f>
        <v>246426088.07763115</v>
      </c>
      <c r="Q47" s="3">
        <f>INDEX('Financial Model'!Q$237:Q$328,'Graph Data'!$E47)</f>
        <v>271068696.88539428</v>
      </c>
      <c r="R47" s="3">
        <f>INDEX('Financial Model'!R$237:R$328,'Graph Data'!$E47)</f>
        <v>298175566.57393372</v>
      </c>
      <c r="S47" s="3">
        <f>INDEX('Financial Model'!S$237:S$328,'Graph Data'!$E47)</f>
        <v>327993123.23132718</v>
      </c>
      <c r="T47" s="3">
        <f>INDEX('Financial Model'!T$237:T$328,'Graph Data'!$E47)</f>
        <v>360792435.55445987</v>
      </c>
    </row>
    <row r="48" spans="4:20" x14ac:dyDescent="0.25">
      <c r="D48">
        <f t="shared" si="0"/>
        <v>45</v>
      </c>
      <c r="E48">
        <f>MATCH(D48,'Financial Model'!$E$237:$E$328,0)</f>
        <v>71</v>
      </c>
      <c r="F48" t="str">
        <f>INDEX('Financial Model'!$D$237:$D$328,'Graph Data'!E48)</f>
        <v>Depreciation as Percent of Net Plant</v>
      </c>
      <c r="I48" s="3">
        <f>INDEX('Financial Model'!I$237:I$328,'Graph Data'!$E48)</f>
        <v>0</v>
      </c>
      <c r="J48" s="3">
        <f>INDEX('Financial Model'!J$237:J$328,'Graph Data'!$E48)</f>
        <v>3.0212644665502594E-2</v>
      </c>
      <c r="K48" s="3">
        <f>INDEX('Financial Model'!K$237:K$328,'Graph Data'!$E48)</f>
        <v>0.1071628047841874</v>
      </c>
      <c r="L48" s="3">
        <f>INDEX('Financial Model'!L$237:L$328,'Graph Data'!$E48)</f>
        <v>0.12517440851316325</v>
      </c>
      <c r="M48" s="3">
        <f>INDEX('Financial Model'!M$237:M$328,'Graph Data'!$E48)</f>
        <v>0.12517440851316325</v>
      </c>
      <c r="N48" s="3">
        <f>INDEX('Financial Model'!N$237:N$328,'Graph Data'!$E48)</f>
        <v>0.12517440851316325</v>
      </c>
      <c r="O48" s="3">
        <f>INDEX('Financial Model'!O$237:O$328,'Graph Data'!$E48)</f>
        <v>0.12517440851316325</v>
      </c>
      <c r="P48" s="3">
        <f>INDEX('Financial Model'!P$237:P$328,'Graph Data'!$E48)</f>
        <v>0.12517440851316325</v>
      </c>
      <c r="Q48" s="3">
        <f>INDEX('Financial Model'!Q$237:Q$328,'Graph Data'!$E48)</f>
        <v>0.12517440851316325</v>
      </c>
      <c r="R48" s="3">
        <f>INDEX('Financial Model'!R$237:R$328,'Graph Data'!$E48)</f>
        <v>0.12517440851316325</v>
      </c>
      <c r="S48" s="3">
        <f>INDEX('Financial Model'!S$237:S$328,'Graph Data'!$E48)</f>
        <v>0.12517440851316325</v>
      </c>
      <c r="T48" s="3">
        <f>INDEX('Financial Model'!T$237:T$328,'Graph Data'!$E48)</f>
        <v>0.12517440851316325</v>
      </c>
    </row>
    <row r="49" spans="4:20" x14ac:dyDescent="0.25">
      <c r="D49">
        <f t="shared" si="0"/>
        <v>46</v>
      </c>
      <c r="E49">
        <f>MATCH(D49,'Financial Model'!$E$237:$E$328,0)</f>
        <v>72</v>
      </c>
      <c r="F49" t="str">
        <f>INDEX('Financial Model'!$D$237:$D$328,'Graph Data'!E49)</f>
        <v>Depreciation Expense</v>
      </c>
      <c r="I49" s="3">
        <f>INDEX('Financial Model'!I$237:I$328,'Graph Data'!$E49)</f>
        <v>0</v>
      </c>
      <c r="J49" s="3">
        <f>INDEX('Financial Model'!J$237:J$328,'Graph Data'!$E49)</f>
        <v>25464384.059999999</v>
      </c>
      <c r="K49" s="3">
        <f>INDEX('Financial Model'!K$237:K$328,'Graph Data'!$E49)</f>
        <v>111089044.38</v>
      </c>
      <c r="L49" s="3">
        <f>INDEX('Financial Model'!L$237:L$328,'Graph Data'!$E49)</f>
        <v>129358336.3</v>
      </c>
      <c r="M49" s="3">
        <f>INDEX('Financial Model'!M$237:M$328,'Graph Data'!$E49)</f>
        <v>134234379.91005492</v>
      </c>
      <c r="N49" s="3">
        <f>INDEX('Financial Model'!N$237:N$328,'Graph Data'!$E49)</f>
        <v>140606907.32960227</v>
      </c>
      <c r="O49" s="3">
        <f>INDEX('Financial Model'!O$237:O$328,'Graph Data'!$E49)</f>
        <v>148499281.05136582</v>
      </c>
      <c r="P49" s="3">
        <f>INDEX('Financial Model'!P$237:P$328,'Graph Data'!$E49)</f>
        <v>157953007.57870397</v>
      </c>
      <c r="Q49" s="3">
        <f>INDEX('Financial Model'!Q$237:Q$328,'Graph Data'!$E49)</f>
        <v>169027573.09949467</v>
      </c>
      <c r="R49" s="3">
        <f>INDEX('Financial Model'!R$237:R$328,'Graph Data'!$E49)</f>
        <v>181800510.41341314</v>
      </c>
      <c r="S49" s="3">
        <f>INDEX('Financial Model'!S$237:S$328,'Graph Data'!$E49)</f>
        <v>196367689.23399249</v>
      </c>
      <c r="T49" s="3">
        <f>INDEX('Financial Model'!T$237:T$328,'Graph Data'!$E49)</f>
        <v>212843825.07989722</v>
      </c>
    </row>
    <row r="50" spans="4:20" x14ac:dyDescent="0.25">
      <c r="D50">
        <f t="shared" si="0"/>
        <v>47</v>
      </c>
      <c r="E50">
        <f>MATCH(D50,'Financial Model'!$E$237:$E$328,0)</f>
        <v>74</v>
      </c>
      <c r="F50" t="str">
        <f>INDEX('Financial Model'!$D$237:$D$328,'Graph Data'!E50)</f>
        <v>Opening Balance</v>
      </c>
      <c r="I50" s="3">
        <f>INDEX('Financial Model'!I$237:I$328,'Graph Data'!$E50)</f>
        <v>0</v>
      </c>
      <c r="J50" s="3">
        <f>INDEX('Financial Model'!J$237:J$328,'Graph Data'!$E50)</f>
        <v>842838630.71000016</v>
      </c>
      <c r="K50" s="3">
        <f>INDEX('Financial Model'!K$237:K$328,'Graph Data'!$E50)</f>
        <v>1036638081.6900002</v>
      </c>
      <c r="L50" s="3">
        <f>INDEX('Financial Model'!L$237:L$328,'Graph Data'!$E50)</f>
        <v>1033424785.7572002</v>
      </c>
      <c r="M50" s="3">
        <f>INDEX('Financial Model'!M$237:M$328,'Graph Data'!$E50)</f>
        <v>1072378783.3672003</v>
      </c>
      <c r="N50" s="3">
        <f>INDEX('Financial Model'!N$237:N$328,'Graph Data'!$E50)</f>
        <v>1123287970.7581453</v>
      </c>
      <c r="O50" s="3">
        <f>INDEX('Financial Model'!O$237:O$328,'Graph Data'!$E50)</f>
        <v>1186338987.4596431</v>
      </c>
      <c r="P50" s="3">
        <f>INDEX('Financial Model'!P$237:P$328,'Graph Data'!$E50)</f>
        <v>1261863422.8424873</v>
      </c>
      <c r="Q50" s="3">
        <f>INDEX('Financial Model'!Q$237:Q$328,'Graph Data'!$E50)</f>
        <v>1350336503.3414147</v>
      </c>
      <c r="R50" s="3">
        <f>INDEX('Financial Model'!R$237:R$328,'Graph Data'!$E50)</f>
        <v>1452377627.1273143</v>
      </c>
      <c r="S50" s="3">
        <f>INDEX('Financial Model'!S$237:S$328,'Graph Data'!$E50)</f>
        <v>1568752683.2878351</v>
      </c>
      <c r="T50" s="3">
        <f>INDEX('Financial Model'!T$237:T$328,'Graph Data'!$E50)</f>
        <v>1700378117.2851696</v>
      </c>
    </row>
    <row r="51" spans="4:20" x14ac:dyDescent="0.25">
      <c r="D51">
        <f t="shared" si="0"/>
        <v>48</v>
      </c>
      <c r="E51">
        <f>MATCH(D51,'Financial Model'!$E$237:$E$328,0)</f>
        <v>75</v>
      </c>
      <c r="F51" t="str">
        <f>INDEX('Financial Model'!$D$237:$D$328,'Graph Data'!E51)</f>
        <v>Add: Cap Exp</v>
      </c>
      <c r="I51" s="3">
        <f>INDEX('Financial Model'!I$237:I$328,'Graph Data'!$E51)</f>
        <v>0</v>
      </c>
      <c r="J51" s="3">
        <f>INDEX('Financial Model'!J$237:J$328,'Graph Data'!$E51)</f>
        <v>219263835.04000002</v>
      </c>
      <c r="K51" s="3">
        <f>INDEX('Financial Model'!K$237:K$328,'Graph Data'!$E51)</f>
        <v>107875748.44720006</v>
      </c>
      <c r="L51" s="3">
        <f>INDEX('Financial Model'!L$237:L$328,'Graph Data'!$E51)</f>
        <v>168312333.91000003</v>
      </c>
      <c r="M51" s="3">
        <f>INDEX('Financial Model'!M$237:M$328,'Graph Data'!$E51)</f>
        <v>185143567.30100006</v>
      </c>
      <c r="N51" s="3">
        <f>INDEX('Financial Model'!N$237:N$328,'Graph Data'!$E51)</f>
        <v>203657924.03110006</v>
      </c>
      <c r="O51" s="3">
        <f>INDEX('Financial Model'!O$237:O$328,'Graph Data'!$E51)</f>
        <v>224023716.43421009</v>
      </c>
      <c r="P51" s="3">
        <f>INDEX('Financial Model'!P$237:P$328,'Graph Data'!$E51)</f>
        <v>246426088.07763115</v>
      </c>
      <c r="Q51" s="3">
        <f>INDEX('Financial Model'!Q$237:Q$328,'Graph Data'!$E51)</f>
        <v>271068696.88539428</v>
      </c>
      <c r="R51" s="3">
        <f>INDEX('Financial Model'!R$237:R$328,'Graph Data'!$E51)</f>
        <v>298175566.57393372</v>
      </c>
      <c r="S51" s="3">
        <f>INDEX('Financial Model'!S$237:S$328,'Graph Data'!$E51)</f>
        <v>327993123.23132718</v>
      </c>
      <c r="T51" s="3">
        <f>INDEX('Financial Model'!T$237:T$328,'Graph Data'!$E51)</f>
        <v>360792435.55445987</v>
      </c>
    </row>
    <row r="52" spans="4:20" x14ac:dyDescent="0.25">
      <c r="D52">
        <f t="shared" si="0"/>
        <v>49</v>
      </c>
      <c r="E52">
        <f>MATCH(D52,'Financial Model'!$E$237:$E$328,0)</f>
        <v>76</v>
      </c>
      <c r="F52" t="str">
        <f>INDEX('Financial Model'!$D$237:$D$328,'Graph Data'!E52)</f>
        <v>Less: Depreciation</v>
      </c>
      <c r="I52" s="3">
        <f>INDEX('Financial Model'!I$237:I$328,'Graph Data'!$E52)</f>
        <v>0</v>
      </c>
      <c r="J52" s="3">
        <f>INDEX('Financial Model'!J$237:J$328,'Graph Data'!$E52)</f>
        <v>25464384.059999999</v>
      </c>
      <c r="K52" s="3">
        <f>INDEX('Financial Model'!K$237:K$328,'Graph Data'!$E52)</f>
        <v>111089044.38</v>
      </c>
      <c r="L52" s="3">
        <f>INDEX('Financial Model'!L$237:L$328,'Graph Data'!$E52)</f>
        <v>129358336.3</v>
      </c>
      <c r="M52" s="3">
        <f>INDEX('Financial Model'!M$237:M$328,'Graph Data'!$E52)</f>
        <v>134234379.91005492</v>
      </c>
      <c r="N52" s="3">
        <f>INDEX('Financial Model'!N$237:N$328,'Graph Data'!$E52)</f>
        <v>140606907.32960227</v>
      </c>
      <c r="O52" s="3">
        <f>INDEX('Financial Model'!O$237:O$328,'Graph Data'!$E52)</f>
        <v>148499281.05136582</v>
      </c>
      <c r="P52" s="3">
        <f>INDEX('Financial Model'!P$237:P$328,'Graph Data'!$E52)</f>
        <v>157953007.57870397</v>
      </c>
      <c r="Q52" s="3">
        <f>INDEX('Financial Model'!Q$237:Q$328,'Graph Data'!$E52)</f>
        <v>169027573.09949467</v>
      </c>
      <c r="R52" s="3">
        <f>INDEX('Financial Model'!R$237:R$328,'Graph Data'!$E52)</f>
        <v>181800510.41341314</v>
      </c>
      <c r="S52" s="3">
        <f>INDEX('Financial Model'!S$237:S$328,'Graph Data'!$E52)</f>
        <v>196367689.23399249</v>
      </c>
      <c r="T52" s="3">
        <f>INDEX('Financial Model'!T$237:T$328,'Graph Data'!$E52)</f>
        <v>212843825.07989722</v>
      </c>
    </row>
    <row r="53" spans="4:20" x14ac:dyDescent="0.25">
      <c r="D53">
        <f t="shared" si="0"/>
        <v>50</v>
      </c>
      <c r="E53">
        <f>MATCH(D53,'Financial Model'!$E$237:$E$328,0)</f>
        <v>77</v>
      </c>
      <c r="F53" t="str">
        <f>INDEX('Financial Model'!$D$237:$D$328,'Graph Data'!E53)</f>
        <v>Closing Balance</v>
      </c>
      <c r="I53" s="3">
        <f>INDEX('Financial Model'!I$237:I$328,'Graph Data'!$E53)</f>
        <v>842838630.71000016</v>
      </c>
      <c r="J53" s="3">
        <f>INDEX('Financial Model'!J$237:J$328,'Graph Data'!$E53)</f>
        <v>1036638081.6900002</v>
      </c>
      <c r="K53" s="3">
        <f>INDEX('Financial Model'!K$237:K$328,'Graph Data'!$E53)</f>
        <v>1033424785.7572002</v>
      </c>
      <c r="L53" s="3">
        <f>INDEX('Financial Model'!L$237:L$328,'Graph Data'!$E53)</f>
        <v>1072378783.3672003</v>
      </c>
      <c r="M53" s="3">
        <f>INDEX('Financial Model'!M$237:M$328,'Graph Data'!$E53)</f>
        <v>1123287970.7581453</v>
      </c>
      <c r="N53" s="3">
        <f>INDEX('Financial Model'!N$237:N$328,'Graph Data'!$E53)</f>
        <v>1186338987.4596431</v>
      </c>
      <c r="O53" s="3">
        <f>INDEX('Financial Model'!O$237:O$328,'Graph Data'!$E53)</f>
        <v>1261863422.8424873</v>
      </c>
      <c r="P53" s="3">
        <f>INDEX('Financial Model'!P$237:P$328,'Graph Data'!$E53)</f>
        <v>1350336503.3414147</v>
      </c>
      <c r="Q53" s="3">
        <f>INDEX('Financial Model'!Q$237:Q$328,'Graph Data'!$E53)</f>
        <v>1452377627.1273143</v>
      </c>
      <c r="R53" s="3">
        <f>INDEX('Financial Model'!R$237:R$328,'Graph Data'!$E53)</f>
        <v>1568752683.2878351</v>
      </c>
      <c r="S53" s="3">
        <f>INDEX('Financial Model'!S$237:S$328,'Graph Data'!$E53)</f>
        <v>1700378117.2851696</v>
      </c>
      <c r="T53" s="3">
        <f>INDEX('Financial Model'!T$237:T$328,'Graph Data'!$E53)</f>
        <v>1848326727.7597322</v>
      </c>
    </row>
    <row r="54" spans="4:20" x14ac:dyDescent="0.25">
      <c r="D54">
        <f t="shared" si="0"/>
        <v>51</v>
      </c>
      <c r="E54">
        <f>MATCH(D54,'Financial Model'!$E$237:$E$328,0)</f>
        <v>81</v>
      </c>
      <c r="F54" t="str">
        <f>INDEX('Financial Model'!$D$237:$D$328,'Graph Data'!E54)</f>
        <v>Minimum Cash Balance</v>
      </c>
      <c r="I54" s="3">
        <f>INDEX('Financial Model'!I$237:I$328,'Graph Data'!$E54)</f>
        <v>94228324.520002559</v>
      </c>
      <c r="J54" s="3">
        <f>INDEX('Financial Model'!J$237:J$328,'Graph Data'!$E54)</f>
        <v>719700731.07000268</v>
      </c>
      <c r="K54" s="3">
        <f>INDEX('Financial Model'!K$237:K$328,'Graph Data'!$E54)</f>
        <v>233299232.75999841</v>
      </c>
      <c r="L54" s="3">
        <f>INDEX('Financial Model'!L$237:L$328,'Graph Data'!$E54)</f>
        <v>199035728.0300006</v>
      </c>
      <c r="M54" s="3">
        <f>INDEX('Financial Model'!M$237:M$328,'Graph Data'!$E54)</f>
        <v>168018831.22252238</v>
      </c>
      <c r="N54" s="3">
        <f>INDEX('Financial Model'!N$237:N$328,'Graph Data'!$E54)</f>
        <v>184820714.34477463</v>
      </c>
      <c r="O54" s="3">
        <f>INDEX('Financial Model'!O$237:O$328,'Graph Data'!$E54)</f>
        <v>203302785.77925211</v>
      </c>
      <c r="P54" s="3">
        <f>INDEX('Financial Model'!P$237:P$328,'Graph Data'!$E54)</f>
        <v>223633064.35717738</v>
      </c>
      <c r="Q54" s="3">
        <f>INDEX('Financial Model'!Q$237:Q$328,'Graph Data'!$E54)</f>
        <v>245996370.79289511</v>
      </c>
      <c r="R54" s="3">
        <f>INDEX('Financial Model'!R$237:R$328,'Graph Data'!$E54)</f>
        <v>270596007.87218463</v>
      </c>
      <c r="S54" s="3">
        <f>INDEX('Financial Model'!S$237:S$328,'Graph Data'!$E54)</f>
        <v>297655608.65940315</v>
      </c>
      <c r="T54" s="3">
        <f>INDEX('Financial Model'!T$237:T$328,'Graph Data'!$E54)</f>
        <v>327421169.52534348</v>
      </c>
    </row>
    <row r="55" spans="4:20" x14ac:dyDescent="0.25">
      <c r="D55">
        <f t="shared" si="0"/>
        <v>52</v>
      </c>
      <c r="E55">
        <f>MATCH(D55,'Financial Model'!$E$237:$E$328,0)</f>
        <v>82</v>
      </c>
      <c r="F55" t="str">
        <f>INDEX('Financial Model'!$D$237:$D$328,'Graph Data'!E55)</f>
        <v>Percent of Revenues</v>
      </c>
      <c r="I55" s="3">
        <f>INDEX('Financial Model'!I$237:I$328,'Graph Data'!$E55)</f>
        <v>2.4899839171416509E-2</v>
      </c>
      <c r="J55" s="3">
        <f>INDEX('Financial Model'!J$237:J$328,'Graph Data'!$E55)</f>
        <v>0.18527706035840619</v>
      </c>
      <c r="K55" s="3">
        <f>INDEX('Financial Model'!K$237:K$328,'Graph Data'!$E55)</f>
        <v>4.2566280749980021E-2</v>
      </c>
      <c r="L55" s="3">
        <f>INDEX('Financial Model'!L$237:L$328,'Graph Data'!$E55)</f>
        <v>3.9019857547207895E-2</v>
      </c>
      <c r="M55" s="3">
        <f>INDEX('Financial Model'!M$237:M$328,'Graph Data'!$E55)</f>
        <v>0.03</v>
      </c>
      <c r="N55" s="3">
        <f>INDEX('Financial Model'!N$237:N$328,'Graph Data'!$E55)</f>
        <v>0.03</v>
      </c>
      <c r="O55" s="3">
        <f>INDEX('Financial Model'!O$237:O$328,'Graph Data'!$E55)</f>
        <v>0.03</v>
      </c>
      <c r="P55" s="3">
        <f>INDEX('Financial Model'!P$237:P$328,'Graph Data'!$E55)</f>
        <v>0.03</v>
      </c>
      <c r="Q55" s="3">
        <f>INDEX('Financial Model'!Q$237:Q$328,'Graph Data'!$E55)</f>
        <v>0.03</v>
      </c>
      <c r="R55" s="3">
        <f>INDEX('Financial Model'!R$237:R$328,'Graph Data'!$E55)</f>
        <v>0.03</v>
      </c>
      <c r="S55" s="3">
        <f>INDEX('Financial Model'!S$237:S$328,'Graph Data'!$E55)</f>
        <v>0.03</v>
      </c>
      <c r="T55" s="3">
        <f>INDEX('Financial Model'!T$237:T$328,'Graph Data'!$E55)</f>
        <v>0.03</v>
      </c>
    </row>
    <row r="56" spans="4:20" x14ac:dyDescent="0.25">
      <c r="D56">
        <f t="shared" si="0"/>
        <v>53</v>
      </c>
      <c r="E56">
        <f>MATCH(D56,'Financial Model'!$E$237:$E$328,0)</f>
        <v>83</v>
      </c>
      <c r="F56" t="str">
        <f>INDEX('Financial Model'!$D$237:$D$328,'Graph Data'!E56)</f>
        <v>Required Cash to Meet Minimum Balance</v>
      </c>
      <c r="I56" s="3">
        <f>INDEX('Financial Model'!I$237:I$328,'Graph Data'!$E56)</f>
        <v>94228324.520002559</v>
      </c>
      <c r="J56" s="3">
        <f>INDEX('Financial Model'!J$237:J$328,'Graph Data'!$E56)</f>
        <v>625472406.55000007</v>
      </c>
      <c r="K56" s="3">
        <f>INDEX('Financial Model'!K$237:K$328,'Graph Data'!$E56)</f>
        <v>-486401498.31000423</v>
      </c>
      <c r="L56" s="3">
        <f>INDEX('Financial Model'!L$237:L$328,'Graph Data'!$E56)</f>
        <v>-34263504.729997814</v>
      </c>
      <c r="M56" s="3">
        <f>INDEX('Financial Model'!M$237:M$328,'Graph Data'!$E56)</f>
        <v>-31016896.807478219</v>
      </c>
      <c r="N56" s="3">
        <f>INDEX('Financial Model'!N$237:N$328,'Graph Data'!$E56)</f>
        <v>16801883.122252256</v>
      </c>
      <c r="O56" s="3">
        <f>INDEX('Financial Model'!O$237:O$328,'Graph Data'!$E56)</f>
        <v>18482071.434477478</v>
      </c>
      <c r="P56" s="3">
        <f>INDEX('Financial Model'!P$237:P$328,'Graph Data'!$E56)</f>
        <v>20330278.577925265</v>
      </c>
      <c r="Q56" s="3">
        <f>INDEX('Financial Model'!Q$237:Q$328,'Graph Data'!$E56)</f>
        <v>22363306.435717732</v>
      </c>
      <c r="R56" s="3">
        <f>INDEX('Financial Model'!R$237:R$328,'Graph Data'!$E56)</f>
        <v>24599637.079289526</v>
      </c>
      <c r="S56" s="3">
        <f>INDEX('Financial Model'!S$237:S$328,'Graph Data'!$E56)</f>
        <v>27059600.787218511</v>
      </c>
      <c r="T56" s="3">
        <f>INDEX('Financial Model'!T$237:T$328,'Graph Data'!$E56)</f>
        <v>29765560.865940332</v>
      </c>
    </row>
    <row r="57" spans="4:20" x14ac:dyDescent="0.25">
      <c r="D57">
        <f t="shared" si="0"/>
        <v>54</v>
      </c>
      <c r="E57">
        <f>MATCH(D57,'Financial Model'!$E$237:$E$328,0)</f>
        <v>85</v>
      </c>
      <c r="F57" t="str">
        <f>INDEX('Financial Model'!$D$237:$D$328,'Graph Data'!E57)</f>
        <v>Opening Balance</v>
      </c>
      <c r="I57" s="3">
        <f>INDEX('Financial Model'!I$237:I$328,'Graph Data'!$E57)</f>
        <v>0</v>
      </c>
      <c r="J57" s="3">
        <f>INDEX('Financial Model'!J$237:J$328,'Graph Data'!$E57)</f>
        <v>94228324.520002559</v>
      </c>
      <c r="K57" s="3">
        <f>INDEX('Financial Model'!K$237:K$328,'Graph Data'!$E57)</f>
        <v>719700731.07000268</v>
      </c>
      <c r="L57" s="3">
        <f>INDEX('Financial Model'!L$237:L$328,'Graph Data'!$E57)</f>
        <v>233299232.75999841</v>
      </c>
      <c r="M57" s="3">
        <f>INDEX('Financial Model'!M$237:M$328,'Graph Data'!$E57)</f>
        <v>199035728.0300006</v>
      </c>
      <c r="N57" s="3">
        <f>INDEX('Financial Model'!N$237:N$328,'Graph Data'!$E57)</f>
        <v>168018831.22252238</v>
      </c>
      <c r="O57" s="3">
        <f>INDEX('Financial Model'!O$237:O$328,'Graph Data'!$E57)</f>
        <v>184820714.34477463</v>
      </c>
      <c r="P57" s="3">
        <f>INDEX('Financial Model'!P$237:P$328,'Graph Data'!$E57)</f>
        <v>203302785.77925211</v>
      </c>
      <c r="Q57" s="3">
        <f>INDEX('Financial Model'!Q$237:Q$328,'Graph Data'!$E57)</f>
        <v>223633064.35717738</v>
      </c>
      <c r="R57" s="3">
        <f>INDEX('Financial Model'!R$237:R$328,'Graph Data'!$E57)</f>
        <v>245996370.79289511</v>
      </c>
      <c r="S57" s="3">
        <f>INDEX('Financial Model'!S$237:S$328,'Graph Data'!$E57)</f>
        <v>270596007.87218463</v>
      </c>
      <c r="T57" s="3">
        <f>INDEX('Financial Model'!T$237:T$328,'Graph Data'!$E57)</f>
        <v>297655608.65940315</v>
      </c>
    </row>
    <row r="58" spans="4:20" x14ac:dyDescent="0.25">
      <c r="D58">
        <f t="shared" si="0"/>
        <v>55</v>
      </c>
      <c r="E58">
        <f>MATCH(D58,'Financial Model'!$E$237:$E$328,0)</f>
        <v>86</v>
      </c>
      <c r="F58" t="str">
        <f>INDEX('Financial Model'!$D$237:$D$328,'Graph Data'!E58)</f>
        <v>Add: Cash Used in Cash Flow Statement</v>
      </c>
      <c r="I58" s="3">
        <f>INDEX('Financial Model'!I$237:I$328,'Graph Data'!$E58)</f>
        <v>94228324.520002559</v>
      </c>
      <c r="J58" s="3">
        <f>INDEX('Financial Model'!J$237:J$328,'Graph Data'!$E58)</f>
        <v>625472406.55000007</v>
      </c>
      <c r="K58" s="3">
        <f>INDEX('Financial Model'!K$237:K$328,'Graph Data'!$E58)</f>
        <v>-486401498.31000423</v>
      </c>
      <c r="L58" s="3">
        <f>INDEX('Financial Model'!L$237:L$328,'Graph Data'!$E58)</f>
        <v>-34263504.729997814</v>
      </c>
      <c r="M58" s="3">
        <f>INDEX('Financial Model'!M$237:M$328,'Graph Data'!$E58)</f>
        <v>-31016896.807478219</v>
      </c>
      <c r="N58" s="3">
        <f>INDEX('Financial Model'!N$237:N$328,'Graph Data'!$E58)</f>
        <v>16801883.122252256</v>
      </c>
      <c r="O58" s="3">
        <f>INDEX('Financial Model'!O$237:O$328,'Graph Data'!$E58)</f>
        <v>18482071.434477478</v>
      </c>
      <c r="P58" s="3">
        <f>INDEX('Financial Model'!P$237:P$328,'Graph Data'!$E58)</f>
        <v>20330278.577925265</v>
      </c>
      <c r="Q58" s="3">
        <f>INDEX('Financial Model'!Q$237:Q$328,'Graph Data'!$E58)</f>
        <v>22363306.435717732</v>
      </c>
      <c r="R58" s="3">
        <f>INDEX('Financial Model'!R$237:R$328,'Graph Data'!$E58)</f>
        <v>24599637.079289526</v>
      </c>
      <c r="S58" s="3">
        <f>INDEX('Financial Model'!S$237:S$328,'Graph Data'!$E58)</f>
        <v>27059600.787218511</v>
      </c>
      <c r="T58" s="3">
        <f>INDEX('Financial Model'!T$237:T$328,'Graph Data'!$E58)</f>
        <v>29765560.865940332</v>
      </c>
    </row>
    <row r="59" spans="4:20" x14ac:dyDescent="0.25">
      <c r="D59">
        <f t="shared" si="0"/>
        <v>56</v>
      </c>
      <c r="E59">
        <f>MATCH(D59,'Financial Model'!$E$237:$E$328,0)</f>
        <v>87</v>
      </c>
      <c r="F59" t="str">
        <f>INDEX('Financial Model'!$D$237:$D$328,'Graph Data'!E59)</f>
        <v>Closing Balance</v>
      </c>
      <c r="I59" s="3">
        <f>INDEX('Financial Model'!I$237:I$328,'Graph Data'!$E59)</f>
        <v>94228324.520002559</v>
      </c>
      <c r="J59" s="3">
        <f>INDEX('Financial Model'!J$237:J$328,'Graph Data'!$E59)</f>
        <v>719700731.07000268</v>
      </c>
      <c r="K59" s="3">
        <f>INDEX('Financial Model'!K$237:K$328,'Graph Data'!$E59)</f>
        <v>233299232.75999841</v>
      </c>
      <c r="L59" s="3">
        <f>INDEX('Financial Model'!L$237:L$328,'Graph Data'!$E59)</f>
        <v>199035728.0300006</v>
      </c>
      <c r="M59" s="3">
        <f>INDEX('Financial Model'!M$237:M$328,'Graph Data'!$E59)</f>
        <v>168018831.22252238</v>
      </c>
      <c r="N59" s="3">
        <f>INDEX('Financial Model'!N$237:N$328,'Graph Data'!$E59)</f>
        <v>184820714.34477463</v>
      </c>
      <c r="O59" s="3">
        <f>INDEX('Financial Model'!O$237:O$328,'Graph Data'!$E59)</f>
        <v>203302785.77925211</v>
      </c>
      <c r="P59" s="3">
        <f>INDEX('Financial Model'!P$237:P$328,'Graph Data'!$E59)</f>
        <v>223633064.35717738</v>
      </c>
      <c r="Q59" s="3">
        <f>INDEX('Financial Model'!Q$237:Q$328,'Graph Data'!$E59)</f>
        <v>245996370.79289511</v>
      </c>
      <c r="R59" s="3">
        <f>INDEX('Financial Model'!R$237:R$328,'Graph Data'!$E59)</f>
        <v>270596007.87218463</v>
      </c>
      <c r="S59" s="3">
        <f>INDEX('Financial Model'!S$237:S$328,'Graph Data'!$E59)</f>
        <v>297655608.65940315</v>
      </c>
      <c r="T59" s="3">
        <f>INDEX('Financial Model'!T$237:T$328,'Graph Data'!$E59)</f>
        <v>327421169.52534348</v>
      </c>
    </row>
    <row r="60" spans="4:20" x14ac:dyDescent="0.25">
      <c r="D60">
        <f t="shared" si="0"/>
        <v>57</v>
      </c>
      <c r="E60">
        <f>MATCH(D60,'Financial Model'!$E$237:$E$328,0)</f>
        <v>89</v>
      </c>
      <c r="F60" t="str">
        <f>INDEX('Financial Model'!$D$237:$D$328,'Graph Data'!E60)</f>
        <v>Interest Income</v>
      </c>
      <c r="I60" s="3">
        <f>INDEX('Financial Model'!I$237:I$328,'Graph Data'!$E60)</f>
        <v>0</v>
      </c>
      <c r="J60" s="3">
        <f>INDEX('Financial Model'!J$237:J$328,'Graph Data'!$E60)</f>
        <v>0</v>
      </c>
      <c r="K60" s="3">
        <f>INDEX('Financial Model'!K$237:K$328,'Graph Data'!$E60)</f>
        <v>0</v>
      </c>
      <c r="L60" s="3">
        <f>INDEX('Financial Model'!L$237:L$328,'Graph Data'!$E60)</f>
        <v>0</v>
      </c>
      <c r="M60" s="3">
        <f>INDEX('Financial Model'!M$237:M$328,'Graph Data'!$E60)</f>
        <v>0</v>
      </c>
      <c r="N60" s="3">
        <f>INDEX('Financial Model'!N$237:N$328,'Graph Data'!$E60)</f>
        <v>0</v>
      </c>
      <c r="O60" s="3">
        <f>INDEX('Financial Model'!O$237:O$328,'Graph Data'!$E60)</f>
        <v>0</v>
      </c>
      <c r="P60" s="3">
        <f>INDEX('Financial Model'!P$237:P$328,'Graph Data'!$E60)</f>
        <v>0</v>
      </c>
      <c r="Q60" s="3">
        <f>INDEX('Financial Model'!Q$237:Q$328,'Graph Data'!$E60)</f>
        <v>0</v>
      </c>
      <c r="R60" s="3">
        <f>INDEX('Financial Model'!R$237:R$328,'Graph Data'!$E60)</f>
        <v>0</v>
      </c>
      <c r="S60" s="3">
        <f>INDEX('Financial Model'!S$237:S$328,'Graph Data'!$E60)</f>
        <v>0</v>
      </c>
      <c r="T60" s="3">
        <f>INDEX('Financial Model'!T$237:T$328,'Graph Data'!$E60)</f>
        <v>0</v>
      </c>
    </row>
    <row r="61" spans="4:20" x14ac:dyDescent="0.25">
      <c r="D61">
        <f t="shared" si="0"/>
        <v>58</v>
      </c>
      <c r="E61">
        <f>MATCH(D61,'Financial Model'!$E$237:$E$328,0)</f>
        <v>91</v>
      </c>
      <c r="F61" t="str">
        <f>INDEX('Financial Model'!$D$237:$D$328,'Graph Data'!E61)</f>
        <v>Debt Balance</v>
      </c>
      <c r="I61" s="3">
        <f>INDEX('Financial Model'!I$237:I$328,'Graph Data'!$E61)</f>
        <v>0</v>
      </c>
      <c r="J61" s="3">
        <f>INDEX('Financial Model'!J$237:J$328,'Graph Data'!$E61)</f>
        <v>0</v>
      </c>
      <c r="K61" s="3">
        <f>INDEX('Financial Model'!K$237:K$328,'Graph Data'!$E61)</f>
        <v>0</v>
      </c>
      <c r="L61" s="3">
        <f>INDEX('Financial Model'!L$237:L$328,'Graph Data'!$E61)</f>
        <v>0</v>
      </c>
      <c r="M61" s="3">
        <f>INDEX('Financial Model'!M$237:M$328,'Graph Data'!$E61)</f>
        <v>0</v>
      </c>
      <c r="N61" s="3">
        <f>INDEX('Financial Model'!N$237:N$328,'Graph Data'!$E61)</f>
        <v>0</v>
      </c>
      <c r="O61" s="3">
        <f>INDEX('Financial Model'!O$237:O$328,'Graph Data'!$E61)</f>
        <v>0</v>
      </c>
      <c r="P61" s="3">
        <f>INDEX('Financial Model'!P$237:P$328,'Graph Data'!$E61)</f>
        <v>0</v>
      </c>
      <c r="Q61" s="3">
        <f>INDEX('Financial Model'!Q$237:Q$328,'Graph Data'!$E61)</f>
        <v>0</v>
      </c>
      <c r="R61" s="3">
        <f>INDEX('Financial Model'!R$237:R$328,'Graph Data'!$E61)</f>
        <v>0</v>
      </c>
      <c r="S61" s="3">
        <f>INDEX('Financial Model'!S$237:S$328,'Graph Data'!$E61)</f>
        <v>0</v>
      </c>
      <c r="T61" s="3">
        <f>INDEX('Financial Model'!T$237:T$328,'Graph Data'!$E61)</f>
        <v>0</v>
      </c>
    </row>
    <row r="62" spans="4:20" x14ac:dyDescent="0.25">
      <c r="D62">
        <f t="shared" si="0"/>
        <v>59</v>
      </c>
      <c r="E62">
        <f>MATCH(D62,'Financial Model'!$E$237:$E$328,0)</f>
        <v>92</v>
      </c>
      <c r="F62" t="str">
        <f>INDEX('Financial Model'!$D$237:$D$328,'Graph Data'!E62)</f>
        <v>Interest Expense</v>
      </c>
      <c r="I62" s="3">
        <f>INDEX('Financial Model'!I$237:I$328,'Graph Data'!$E62)</f>
        <v>0</v>
      </c>
      <c r="J62" s="3">
        <f>INDEX('Financial Model'!J$237:J$328,'Graph Data'!$E62)</f>
        <v>0</v>
      </c>
      <c r="K62" s="3">
        <f>INDEX('Financial Model'!K$237:K$328,'Graph Data'!$E62)</f>
        <v>0</v>
      </c>
      <c r="L62" s="3">
        <f>INDEX('Financial Model'!L$237:L$328,'Graph Data'!$E62)</f>
        <v>0</v>
      </c>
      <c r="M62" s="3">
        <f>INDEX('Financial Model'!M$237:M$328,'Graph Data'!$E62)</f>
        <v>0</v>
      </c>
      <c r="N62" s="3">
        <f>INDEX('Financial Model'!N$237:N$328,'Graph Data'!$E62)</f>
        <v>0</v>
      </c>
      <c r="O62" s="3">
        <f>INDEX('Financial Model'!O$237:O$328,'Graph Data'!$E62)</f>
        <v>0</v>
      </c>
      <c r="P62" s="3">
        <f>INDEX('Financial Model'!P$237:P$328,'Graph Data'!$E62)</f>
        <v>0</v>
      </c>
      <c r="Q62" s="3">
        <f>INDEX('Financial Model'!Q$237:Q$328,'Graph Data'!$E62)</f>
        <v>0</v>
      </c>
      <c r="R62" s="3">
        <f>INDEX('Financial Model'!R$237:R$328,'Graph Data'!$E62)</f>
        <v>0</v>
      </c>
      <c r="S62" s="3">
        <f>INDEX('Financial Model'!S$237:S$328,'Graph Data'!$E62)</f>
        <v>0</v>
      </c>
      <c r="T62" s="3">
        <f>INDEX('Financial Model'!T$237:T$328,'Graph Data'!$E62)</f>
        <v>0</v>
      </c>
    </row>
    <row r="63" spans="4:20" x14ac:dyDescent="0.25">
      <c r="D63">
        <f t="shared" si="0"/>
        <v>60</v>
      </c>
      <c r="E63" t="e">
        <f>MATCH(D63,'Financial Model'!$E$237:$E$328,0)</f>
        <v>#N/A</v>
      </c>
      <c r="F63" t="e">
        <f>INDEX('Financial Model'!$D$237:$D$328,'Graph Data'!E63)</f>
        <v>#N/A</v>
      </c>
      <c r="I63" s="3" t="e">
        <f>INDEX('Financial Model'!I$237:I$328,'Graph Data'!$E63)</f>
        <v>#N/A</v>
      </c>
      <c r="J63" s="3" t="e">
        <f>INDEX('Financial Model'!J$237:J$328,'Graph Data'!$E63)</f>
        <v>#N/A</v>
      </c>
      <c r="K63" s="3" t="e">
        <f>INDEX('Financial Model'!K$237:K$328,'Graph Data'!$E63)</f>
        <v>#N/A</v>
      </c>
      <c r="L63" s="3" t="e">
        <f>INDEX('Financial Model'!L$237:L$328,'Graph Data'!$E63)</f>
        <v>#N/A</v>
      </c>
      <c r="M63" s="3" t="e">
        <f>INDEX('Financial Model'!M$237:M$328,'Graph Data'!$E63)</f>
        <v>#N/A</v>
      </c>
      <c r="N63" s="3" t="e">
        <f>INDEX('Financial Model'!N$237:N$328,'Graph Data'!$E63)</f>
        <v>#N/A</v>
      </c>
      <c r="O63" s="3" t="e">
        <f>INDEX('Financial Model'!O$237:O$328,'Graph Data'!$E63)</f>
        <v>#N/A</v>
      </c>
      <c r="P63" s="3" t="e">
        <f>INDEX('Financial Model'!P$237:P$328,'Graph Data'!$E63)</f>
        <v>#N/A</v>
      </c>
      <c r="Q63" s="3" t="e">
        <f>INDEX('Financial Model'!Q$237:Q$328,'Graph Data'!$E63)</f>
        <v>#N/A</v>
      </c>
      <c r="R63" s="3" t="e">
        <f>INDEX('Financial Model'!R$237:R$328,'Graph Data'!$E63)</f>
        <v>#N/A</v>
      </c>
      <c r="S63" s="3" t="e">
        <f>INDEX('Financial Model'!S$237:S$328,'Graph Data'!$E63)</f>
        <v>#N/A</v>
      </c>
      <c r="T63" s="3" t="e">
        <f>INDEX('Financial Model'!T$237:T$328,'Graph Data'!$E63)</f>
        <v>#N/A</v>
      </c>
    </row>
    <row r="64" spans="4:20" x14ac:dyDescent="0.25">
      <c r="D64">
        <f t="shared" si="0"/>
        <v>61</v>
      </c>
      <c r="E64" t="e">
        <f>MATCH(D64,'Financial Model'!$E$237:$E$328,0)</f>
        <v>#N/A</v>
      </c>
      <c r="F64" t="e">
        <f>INDEX('Financial Model'!$D$237:$D$328,'Graph Data'!E64)</f>
        <v>#N/A</v>
      </c>
      <c r="I64" s="3" t="e">
        <f>INDEX('Financial Model'!I$237:I$328,'Graph Data'!$E64)</f>
        <v>#N/A</v>
      </c>
      <c r="J64" s="3" t="e">
        <f>INDEX('Financial Model'!J$237:J$328,'Graph Data'!$E64)</f>
        <v>#N/A</v>
      </c>
      <c r="K64" s="3" t="e">
        <f>INDEX('Financial Model'!K$237:K$328,'Graph Data'!$E64)</f>
        <v>#N/A</v>
      </c>
      <c r="L64" s="3" t="e">
        <f>INDEX('Financial Model'!L$237:L$328,'Graph Data'!$E64)</f>
        <v>#N/A</v>
      </c>
      <c r="M64" s="3" t="e">
        <f>INDEX('Financial Model'!M$237:M$328,'Graph Data'!$E64)</f>
        <v>#N/A</v>
      </c>
      <c r="N64" s="3" t="e">
        <f>INDEX('Financial Model'!N$237:N$328,'Graph Data'!$E64)</f>
        <v>#N/A</v>
      </c>
      <c r="O64" s="3" t="e">
        <f>INDEX('Financial Model'!O$237:O$328,'Graph Data'!$E64)</f>
        <v>#N/A</v>
      </c>
      <c r="P64" s="3" t="e">
        <f>INDEX('Financial Model'!P$237:P$328,'Graph Data'!$E64)</f>
        <v>#N/A</v>
      </c>
      <c r="Q64" s="3" t="e">
        <f>INDEX('Financial Model'!Q$237:Q$328,'Graph Data'!$E64)</f>
        <v>#N/A</v>
      </c>
      <c r="R64" s="3" t="e">
        <f>INDEX('Financial Model'!R$237:R$328,'Graph Data'!$E64)</f>
        <v>#N/A</v>
      </c>
      <c r="S64" s="3" t="e">
        <f>INDEX('Financial Model'!S$237:S$328,'Graph Data'!$E64)</f>
        <v>#N/A</v>
      </c>
      <c r="T64" s="3" t="e">
        <f>INDEX('Financial Model'!T$237:T$328,'Graph Data'!$E64)</f>
        <v>#N/A</v>
      </c>
    </row>
    <row r="65" spans="4:20" x14ac:dyDescent="0.25">
      <c r="D65">
        <f t="shared" si="0"/>
        <v>62</v>
      </c>
      <c r="E65" t="e">
        <f>MATCH(D65,'Financial Model'!$E$237:$E$328,0)</f>
        <v>#N/A</v>
      </c>
      <c r="F65" t="e">
        <f>INDEX('Financial Model'!$D$237:$D$328,'Graph Data'!E65)</f>
        <v>#N/A</v>
      </c>
      <c r="I65" s="3" t="e">
        <f>INDEX('Financial Model'!I$237:I$328,'Graph Data'!$E65)</f>
        <v>#N/A</v>
      </c>
      <c r="J65" s="3" t="e">
        <f>INDEX('Financial Model'!J$237:J$328,'Graph Data'!$E65)</f>
        <v>#N/A</v>
      </c>
      <c r="K65" s="3" t="e">
        <f>INDEX('Financial Model'!K$237:K$328,'Graph Data'!$E65)</f>
        <v>#N/A</v>
      </c>
      <c r="L65" s="3" t="e">
        <f>INDEX('Financial Model'!L$237:L$328,'Graph Data'!$E65)</f>
        <v>#N/A</v>
      </c>
      <c r="M65" s="3" t="e">
        <f>INDEX('Financial Model'!M$237:M$328,'Graph Data'!$E65)</f>
        <v>#N/A</v>
      </c>
      <c r="N65" s="3" t="e">
        <f>INDEX('Financial Model'!N$237:N$328,'Graph Data'!$E65)</f>
        <v>#N/A</v>
      </c>
      <c r="O65" s="3" t="e">
        <f>INDEX('Financial Model'!O$237:O$328,'Graph Data'!$E65)</f>
        <v>#N/A</v>
      </c>
      <c r="P65" s="3" t="e">
        <f>INDEX('Financial Model'!P$237:P$328,'Graph Data'!$E65)</f>
        <v>#N/A</v>
      </c>
      <c r="Q65" s="3" t="e">
        <f>INDEX('Financial Model'!Q$237:Q$328,'Graph Data'!$E65)</f>
        <v>#N/A</v>
      </c>
      <c r="R65" s="3" t="e">
        <f>INDEX('Financial Model'!R$237:R$328,'Graph Data'!$E65)</f>
        <v>#N/A</v>
      </c>
      <c r="S65" s="3" t="e">
        <f>INDEX('Financial Model'!S$237:S$328,'Graph Data'!$E65)</f>
        <v>#N/A</v>
      </c>
      <c r="T65" s="3" t="e">
        <f>INDEX('Financial Model'!T$237:T$328,'Graph Data'!$E65)</f>
        <v>#N/A</v>
      </c>
    </row>
    <row r="66" spans="4:20" x14ac:dyDescent="0.25">
      <c r="D66">
        <f t="shared" si="0"/>
        <v>63</v>
      </c>
      <c r="E66" t="e">
        <f>MATCH(D66,'Financial Model'!$E$237:$E$328,0)</f>
        <v>#N/A</v>
      </c>
      <c r="F66" t="e">
        <f>INDEX('Financial Model'!$D$237:$D$328,'Graph Data'!E66)</f>
        <v>#N/A</v>
      </c>
      <c r="I66" s="3" t="e">
        <f>INDEX('Financial Model'!I$237:I$328,'Graph Data'!$E66)</f>
        <v>#N/A</v>
      </c>
      <c r="J66" s="3" t="e">
        <f>INDEX('Financial Model'!J$237:J$328,'Graph Data'!$E66)</f>
        <v>#N/A</v>
      </c>
      <c r="K66" s="3" t="e">
        <f>INDEX('Financial Model'!K$237:K$328,'Graph Data'!$E66)</f>
        <v>#N/A</v>
      </c>
      <c r="L66" s="3" t="e">
        <f>INDEX('Financial Model'!L$237:L$328,'Graph Data'!$E66)</f>
        <v>#N/A</v>
      </c>
      <c r="M66" s="3" t="e">
        <f>INDEX('Financial Model'!M$237:M$328,'Graph Data'!$E66)</f>
        <v>#N/A</v>
      </c>
      <c r="N66" s="3" t="e">
        <f>INDEX('Financial Model'!N$237:N$328,'Graph Data'!$E66)</f>
        <v>#N/A</v>
      </c>
      <c r="O66" s="3" t="e">
        <f>INDEX('Financial Model'!O$237:O$328,'Graph Data'!$E66)</f>
        <v>#N/A</v>
      </c>
      <c r="P66" s="3" t="e">
        <f>INDEX('Financial Model'!P$237:P$328,'Graph Data'!$E66)</f>
        <v>#N/A</v>
      </c>
      <c r="Q66" s="3" t="e">
        <f>INDEX('Financial Model'!Q$237:Q$328,'Graph Data'!$E66)</f>
        <v>#N/A</v>
      </c>
      <c r="R66" s="3" t="e">
        <f>INDEX('Financial Model'!R$237:R$328,'Graph Data'!$E66)</f>
        <v>#N/A</v>
      </c>
      <c r="S66" s="3" t="e">
        <f>INDEX('Financial Model'!S$237:S$328,'Graph Data'!$E66)</f>
        <v>#N/A</v>
      </c>
      <c r="T66" s="3" t="e">
        <f>INDEX('Financial Model'!T$237:T$328,'Graph Data'!$E66)</f>
        <v>#N/A</v>
      </c>
    </row>
    <row r="67" spans="4:20" x14ac:dyDescent="0.25">
      <c r="D67">
        <f t="shared" si="0"/>
        <v>64</v>
      </c>
      <c r="E67" t="e">
        <f>MATCH(D67,'Financial Model'!$E$237:$E$328,0)</f>
        <v>#N/A</v>
      </c>
      <c r="F67" t="e">
        <f>INDEX('Financial Model'!$D$237:$D$328,'Graph Data'!E67)</f>
        <v>#N/A</v>
      </c>
      <c r="I67" s="3" t="e">
        <f>INDEX('Financial Model'!I$237:I$328,'Graph Data'!$E67)</f>
        <v>#N/A</v>
      </c>
      <c r="J67" s="3" t="e">
        <f>INDEX('Financial Model'!J$237:J$328,'Graph Data'!$E67)</f>
        <v>#N/A</v>
      </c>
      <c r="K67" s="3" t="e">
        <f>INDEX('Financial Model'!K$237:K$328,'Graph Data'!$E67)</f>
        <v>#N/A</v>
      </c>
      <c r="L67" s="3" t="e">
        <f>INDEX('Financial Model'!L$237:L$328,'Graph Data'!$E67)</f>
        <v>#N/A</v>
      </c>
      <c r="M67" s="3" t="e">
        <f>INDEX('Financial Model'!M$237:M$328,'Graph Data'!$E67)</f>
        <v>#N/A</v>
      </c>
      <c r="N67" s="3" t="e">
        <f>INDEX('Financial Model'!N$237:N$328,'Graph Data'!$E67)</f>
        <v>#N/A</v>
      </c>
      <c r="O67" s="3" t="e">
        <f>INDEX('Financial Model'!O$237:O$328,'Graph Data'!$E67)</f>
        <v>#N/A</v>
      </c>
      <c r="P67" s="3" t="e">
        <f>INDEX('Financial Model'!P$237:P$328,'Graph Data'!$E67)</f>
        <v>#N/A</v>
      </c>
      <c r="Q67" s="3" t="e">
        <f>INDEX('Financial Model'!Q$237:Q$328,'Graph Data'!$E67)</f>
        <v>#N/A</v>
      </c>
      <c r="R67" s="3" t="e">
        <f>INDEX('Financial Model'!R$237:R$328,'Graph Data'!$E67)</f>
        <v>#N/A</v>
      </c>
      <c r="S67" s="3" t="e">
        <f>INDEX('Financial Model'!S$237:S$328,'Graph Data'!$E67)</f>
        <v>#N/A</v>
      </c>
      <c r="T67" s="3" t="e">
        <f>INDEX('Financial Model'!T$237:T$328,'Graph Data'!$E67)</f>
        <v>#N/A</v>
      </c>
    </row>
    <row r="68" spans="4:20" x14ac:dyDescent="0.25">
      <c r="D68">
        <f t="shared" si="0"/>
        <v>65</v>
      </c>
      <c r="E68" t="e">
        <f>MATCH(D68,'Financial Model'!$E$237:$E$328,0)</f>
        <v>#N/A</v>
      </c>
      <c r="F68" t="e">
        <f>INDEX('Financial Model'!$D$237:$D$328,'Graph Data'!E68)</f>
        <v>#N/A</v>
      </c>
      <c r="I68" s="3" t="e">
        <f>INDEX('Financial Model'!I$237:I$328,'Graph Data'!$E68)</f>
        <v>#N/A</v>
      </c>
      <c r="J68" s="3" t="e">
        <f>INDEX('Financial Model'!J$237:J$328,'Graph Data'!$E68)</f>
        <v>#N/A</v>
      </c>
      <c r="K68" s="3" t="e">
        <f>INDEX('Financial Model'!K$237:K$328,'Graph Data'!$E68)</f>
        <v>#N/A</v>
      </c>
      <c r="L68" s="3" t="e">
        <f>INDEX('Financial Model'!L$237:L$328,'Graph Data'!$E68)</f>
        <v>#N/A</v>
      </c>
      <c r="M68" s="3" t="e">
        <f>INDEX('Financial Model'!M$237:M$328,'Graph Data'!$E68)</f>
        <v>#N/A</v>
      </c>
      <c r="N68" s="3" t="e">
        <f>INDEX('Financial Model'!N$237:N$328,'Graph Data'!$E68)</f>
        <v>#N/A</v>
      </c>
      <c r="O68" s="3" t="e">
        <f>INDEX('Financial Model'!O$237:O$328,'Graph Data'!$E68)</f>
        <v>#N/A</v>
      </c>
      <c r="P68" s="3" t="e">
        <f>INDEX('Financial Model'!P$237:P$328,'Graph Data'!$E68)</f>
        <v>#N/A</v>
      </c>
      <c r="Q68" s="3" t="e">
        <f>INDEX('Financial Model'!Q$237:Q$328,'Graph Data'!$E68)</f>
        <v>#N/A</v>
      </c>
      <c r="R68" s="3" t="e">
        <f>INDEX('Financial Model'!R$237:R$328,'Graph Data'!$E68)</f>
        <v>#N/A</v>
      </c>
      <c r="S68" s="3" t="e">
        <f>INDEX('Financial Model'!S$237:S$328,'Graph Data'!$E68)</f>
        <v>#N/A</v>
      </c>
      <c r="T68" s="3" t="e">
        <f>INDEX('Financial Model'!T$237:T$328,'Graph Data'!$E68)</f>
        <v>#N/A</v>
      </c>
    </row>
    <row r="71" spans="4:20" x14ac:dyDescent="0.25">
      <c r="I71">
        <v>1</v>
      </c>
    </row>
    <row r="72" spans="4:20" x14ac:dyDescent="0.25">
      <c r="I72" t="b">
        <f>'Financial Model'!I3</f>
        <v>1</v>
      </c>
      <c r="J72" t="b">
        <f>'Financial Model'!J3</f>
        <v>1</v>
      </c>
      <c r="K72" t="b">
        <f>'Financial Model'!K3</f>
        <v>1</v>
      </c>
      <c r="L72" t="b">
        <f>'Financial Model'!L3</f>
        <v>1</v>
      </c>
      <c r="M72" t="b">
        <f>'Financial Model'!M3</f>
        <v>0</v>
      </c>
      <c r="N72" t="b">
        <f>'Financial Model'!N3</f>
        <v>0</v>
      </c>
      <c r="O72" t="b">
        <f>'Financial Model'!O3</f>
        <v>0</v>
      </c>
      <c r="P72" t="b">
        <f>'Financial Model'!P3</f>
        <v>0</v>
      </c>
      <c r="Q72" t="b">
        <f>'Financial Model'!Q3</f>
        <v>0</v>
      </c>
      <c r="R72" t="b">
        <f>'Financial Model'!R3</f>
        <v>0</v>
      </c>
      <c r="S72" t="b">
        <f>'Financial Model'!S3</f>
        <v>0</v>
      </c>
      <c r="T72" t="b">
        <f>'Financial Model'!T3</f>
        <v>0</v>
      </c>
    </row>
    <row r="73" spans="4:20" x14ac:dyDescent="0.25">
      <c r="I73">
        <f>I3</f>
        <v>2011</v>
      </c>
      <c r="J73">
        <f t="shared" ref="J73:T73" si="1">J3</f>
        <v>2012</v>
      </c>
      <c r="K73">
        <f t="shared" si="1"/>
        <v>2013</v>
      </c>
      <c r="L73">
        <f t="shared" si="1"/>
        <v>2014</v>
      </c>
      <c r="M73">
        <f t="shared" si="1"/>
        <v>2015</v>
      </c>
      <c r="N73">
        <f t="shared" si="1"/>
        <v>2016</v>
      </c>
      <c r="O73">
        <f t="shared" si="1"/>
        <v>2017</v>
      </c>
      <c r="P73">
        <f t="shared" si="1"/>
        <v>2018</v>
      </c>
      <c r="Q73">
        <f t="shared" si="1"/>
        <v>2019</v>
      </c>
      <c r="R73">
        <f t="shared" si="1"/>
        <v>2020</v>
      </c>
      <c r="S73">
        <f t="shared" si="1"/>
        <v>2021</v>
      </c>
      <c r="T73">
        <f t="shared" si="1"/>
        <v>2022</v>
      </c>
    </row>
    <row r="74" spans="4:20" x14ac:dyDescent="0.25">
      <c r="F74" t="str">
        <f>INDEX(F4:F68,$I$71)</f>
        <v>Revenue Growth Index</v>
      </c>
      <c r="I74">
        <f t="shared" ref="G74:T74" si="2">INDEX(I4:I68,$I$71)</f>
        <v>0</v>
      </c>
      <c r="J74">
        <f t="shared" si="2"/>
        <v>1.0264678830381553</v>
      </c>
      <c r="K74">
        <f t="shared" si="2"/>
        <v>1.4109684833500982</v>
      </c>
      <c r="L74">
        <f t="shared" si="2"/>
        <v>0.93067437594038993</v>
      </c>
      <c r="M74">
        <f t="shared" si="2"/>
        <v>1.1000000000000001</v>
      </c>
      <c r="N74">
        <f t="shared" si="2"/>
        <v>1.1000000000000001</v>
      </c>
      <c r="O74">
        <f t="shared" si="2"/>
        <v>1.1000000000000001</v>
      </c>
      <c r="P74">
        <f t="shared" si="2"/>
        <v>1.1000000000000001</v>
      </c>
      <c r="Q74">
        <f t="shared" si="2"/>
        <v>1.1000000000000001</v>
      </c>
      <c r="R74">
        <f t="shared" si="2"/>
        <v>1.1000000000000001</v>
      </c>
      <c r="S74">
        <f t="shared" si="2"/>
        <v>1.1000000000000001</v>
      </c>
      <c r="T74">
        <f t="shared" si="2"/>
        <v>1.1000000000000001</v>
      </c>
    </row>
    <row r="76" spans="4:20" x14ac:dyDescent="0.25">
      <c r="I76">
        <f>I73</f>
        <v>2011</v>
      </c>
      <c r="J76">
        <f t="shared" ref="J76:T76" si="3">J73</f>
        <v>2012</v>
      </c>
      <c r="K76">
        <f t="shared" si="3"/>
        <v>2013</v>
      </c>
      <c r="L76">
        <f t="shared" si="3"/>
        <v>2014</v>
      </c>
      <c r="M76">
        <f t="shared" si="3"/>
        <v>2015</v>
      </c>
      <c r="N76">
        <f t="shared" si="3"/>
        <v>2016</v>
      </c>
      <c r="O76">
        <f t="shared" si="3"/>
        <v>2017</v>
      </c>
      <c r="P76">
        <f t="shared" si="3"/>
        <v>2018</v>
      </c>
      <c r="Q76">
        <f t="shared" si="3"/>
        <v>2019</v>
      </c>
      <c r="R76">
        <f t="shared" si="3"/>
        <v>2020</v>
      </c>
      <c r="S76">
        <f t="shared" si="3"/>
        <v>2021</v>
      </c>
      <c r="T76">
        <f t="shared" si="3"/>
        <v>2022</v>
      </c>
    </row>
    <row r="77" spans="4:20" x14ac:dyDescent="0.25">
      <c r="F77" s="1" t="s">
        <v>276</v>
      </c>
      <c r="I77">
        <f>IF(I72,I74)</f>
        <v>0</v>
      </c>
      <c r="J77">
        <f t="shared" ref="J77:T77" si="4">IF(J72,J74)</f>
        <v>1.0264678830381553</v>
      </c>
      <c r="K77">
        <f t="shared" si="4"/>
        <v>1.4109684833500982</v>
      </c>
      <c r="L77">
        <f t="shared" si="4"/>
        <v>0.93067437594038993</v>
      </c>
      <c r="M77" t="b">
        <f t="shared" si="4"/>
        <v>0</v>
      </c>
      <c r="N77" t="b">
        <f t="shared" si="4"/>
        <v>0</v>
      </c>
      <c r="O77" t="b">
        <f t="shared" si="4"/>
        <v>0</v>
      </c>
      <c r="P77" t="b">
        <f t="shared" si="4"/>
        <v>0</v>
      </c>
      <c r="Q77" t="b">
        <f t="shared" si="4"/>
        <v>0</v>
      </c>
      <c r="R77" t="b">
        <f t="shared" si="4"/>
        <v>0</v>
      </c>
      <c r="S77" t="b">
        <f t="shared" si="4"/>
        <v>0</v>
      </c>
      <c r="T77" t="b">
        <f t="shared" si="4"/>
        <v>0</v>
      </c>
    </row>
    <row r="78" spans="4:20" x14ac:dyDescent="0.25">
      <c r="F78" s="1" t="s">
        <v>277</v>
      </c>
      <c r="I78" t="b">
        <f>IF(NOT(I72),I74)</f>
        <v>0</v>
      </c>
      <c r="J78" t="b">
        <f t="shared" ref="J78:T78" si="5">IF(NOT(J72),J74)</f>
        <v>0</v>
      </c>
      <c r="K78" t="b">
        <f t="shared" si="5"/>
        <v>0</v>
      </c>
      <c r="L78" t="b">
        <f t="shared" si="5"/>
        <v>0</v>
      </c>
      <c r="M78">
        <f t="shared" si="5"/>
        <v>1.1000000000000001</v>
      </c>
      <c r="N78">
        <f t="shared" si="5"/>
        <v>1.1000000000000001</v>
      </c>
      <c r="O78">
        <f t="shared" si="5"/>
        <v>1.1000000000000001</v>
      </c>
      <c r="P78">
        <f t="shared" si="5"/>
        <v>1.1000000000000001</v>
      </c>
      <c r="Q78">
        <f t="shared" si="5"/>
        <v>1.1000000000000001</v>
      </c>
      <c r="R78">
        <f t="shared" si="5"/>
        <v>1.1000000000000001</v>
      </c>
      <c r="S78">
        <f t="shared" si="5"/>
        <v>1.1000000000000001</v>
      </c>
      <c r="T78">
        <f t="shared" si="5"/>
        <v>1.1000000000000001</v>
      </c>
    </row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65" r:id="rId3" name="Drop Down 1">
              <controlPr defaultSize="0" autoLine="0" autoPict="0">
                <anchor moveWithCells="1">
                  <from>
                    <xdr:col>3</xdr:col>
                    <xdr:colOff>577850</xdr:colOff>
                    <xdr:row>68</xdr:row>
                    <xdr:rowOff>69850</xdr:rowOff>
                  </from>
                  <to>
                    <xdr:col>6</xdr:col>
                    <xdr:colOff>368300</xdr:colOff>
                    <xdr:row>69</xdr:row>
                    <xdr:rowOff>120650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6" r:id="rId4" name="Spinner 2">
              <controlPr defaultSize="0" autoPict="0">
                <anchor moveWithCells="1" sizeWithCells="1">
                  <from>
                    <xdr:col>9</xdr:col>
                    <xdr:colOff>139700</xdr:colOff>
                    <xdr:row>69</xdr:row>
                    <xdr:rowOff>133350</xdr:rowOff>
                  </from>
                  <to>
                    <xdr:col>9</xdr:col>
                    <xdr:colOff>342900</xdr:colOff>
                    <xdr:row>70</xdr:row>
                    <xdr:rowOff>152400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Charts</vt:lpstr>
      </vt:variant>
      <vt:variant>
        <vt:i4>2</vt:i4>
      </vt:variant>
    </vt:vector>
  </HeadingPairs>
  <TitlesOfParts>
    <vt:vector size="6" baseType="lpstr">
      <vt:lpstr>Financial Model</vt:lpstr>
      <vt:lpstr>Structuring Assumptions</vt:lpstr>
      <vt:lpstr>Acquisition Model</vt:lpstr>
      <vt:lpstr>Graph Data</vt:lpstr>
      <vt:lpstr>Returns</vt:lpstr>
      <vt:lpstr>Assumptions Graph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PC</cp:lastModifiedBy>
  <cp:lastPrinted>2015-04-21T05:24:55Z</cp:lastPrinted>
  <dcterms:created xsi:type="dcterms:W3CDTF">2015-04-20T08:15:35Z</dcterms:created>
  <dcterms:modified xsi:type="dcterms:W3CDTF">2015-05-02T17:27:16Z</dcterms:modified>
</cp:coreProperties>
</file>